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033A734E-7E20-4491-A5B2-548157E7C76F}" xr6:coauthVersionLast="36" xr6:coauthVersionMax="36" xr10:uidLastSave="{00000000-0000-0000-0000-000000000000}"/>
  <bookViews>
    <workbookView xWindow="0" yWindow="0" windowWidth="20430" windowHeight="7290" tabRatio="895" xr2:uid="{00000000-000D-0000-FFFF-FFFF00000000}"/>
  </bookViews>
  <sheets>
    <sheet name=" Introduction" sheetId="1" r:id="rId1"/>
    <sheet name="Instructions" sheetId="2" r:id="rId2"/>
    <sheet name="Z_User_Input" sheetId="10" r:id="rId3"/>
    <sheet name="D_User_Input" sheetId="38" r:id="rId4"/>
    <sheet name="Z+D_Output_Summary" sheetId="20" r:id="rId5"/>
    <sheet name="Z_Output_Summary" sheetId="30" r:id="rId6"/>
    <sheet name="D_Output_Summary" sheetId="31" r:id="rId7"/>
    <sheet name="Z+D_Output_DE marinas" sheetId="44" r:id="rId8"/>
    <sheet name="Z_Output_DE marinas" sheetId="43" r:id="rId9"/>
    <sheet name="D_Output_DE marinas" sheetId="42" r:id="rId10"/>
    <sheet name="Z+D_DE Marinas_Scenario_Cal" sheetId="41" r:id="rId11"/>
    <sheet name="Z_De Marinas_Scenario_Calc" sheetId="40" r:id="rId12"/>
    <sheet name="D_DE Marinas_Scenario_Calc" sheetId="39" r:id="rId13"/>
    <sheet name="Zineb_Input" sheetId="3" r:id="rId14"/>
    <sheet name="DIDT_Input" sheetId="29" r:id="rId15"/>
  </sheets>
  <definedNames>
    <definedName name="Application_Conversion_Factor" localSheetId="11">'Z_De Marinas_Scenario_Calc'!$F$17</definedName>
    <definedName name="Application_Conversion_Factor">'D_DE Marinas_Scenario_Calc'!$F$17</definedName>
    <definedName name="Application_Factor">Z_User_Input!$H$7</definedName>
    <definedName name="D_a" localSheetId="3">D_User_Input!$I$22</definedName>
    <definedName name="D_Average_biocide_release_over_the_lifetime_of_the_paint_C">D_User_Input!$I$30</definedName>
    <definedName name="D_Average_biocide_release_over_the_lifetime_of_the_paint_M">D_User_Input!$H$11</definedName>
    <definedName name="D_Background_Sed_Freshwater">D_User_Input!$C$20</definedName>
    <definedName name="D_Background_SW_Freshwater">D_User_Input!$C$19</definedName>
    <definedName name="D_Compound_Name">DIDT_Input!$C$6</definedName>
    <definedName name="D_DFT" localSheetId="3">D_User_Input!$I$25</definedName>
    <definedName name="D_La" localSheetId="3">D_User_Input!$I$21</definedName>
    <definedName name="D_Leaching_Conversion_Factor" localSheetId="12">'D_DE Marinas_Scenario_Calc'!$F$11</definedName>
    <definedName name="D_Leaching_Conversion_Factor">#REF!</definedName>
    <definedName name="D_Mrel" localSheetId="3">D_User_Input!$I$29</definedName>
    <definedName name="D_PNEC_Aquatic_Inside">D_User_Input!$C$12</definedName>
    <definedName name="D_PNEC_Aquatic_Surrounding">D_User_Input!$D$12</definedName>
    <definedName name="D_PNEC_Sediment_Inside">D_User_Input!$C$13</definedName>
    <definedName name="D_PNEC_Sediment_Surrounding">D_User_Input!$D$13</definedName>
    <definedName name="D_t" localSheetId="3">D_User_Input!$I$27</definedName>
    <definedName name="D_VS" localSheetId="3">D_User_Input!$I$26</definedName>
    <definedName name="D_ƿ" localSheetId="3">D_User_Input!$I$24</definedName>
    <definedName name="D_Wa" localSheetId="3">D_User_Input!$I$23</definedName>
    <definedName name="Substance">' Introduction'!$B$4</definedName>
    <definedName name="Tooltype">' Introduction'!$B$5</definedName>
    <definedName name="Version">' Introduction'!$B$3</definedName>
    <definedName name="WSA_ConversionFactor" localSheetId="11">'Z_De Marinas_Scenario_Calc'!#REF!</definedName>
    <definedName name="WSA_ConversionFactor">#REF!</definedName>
    <definedName name="WSA_freshwater" localSheetId="11">'Z_De Marinas_Scenario_Calc'!#REF!</definedName>
    <definedName name="WSA_freshwater">#REF!</definedName>
    <definedName name="WSA_OECD_default" localSheetId="11">'Z_De Marinas_Scenario_Calc'!$O$6</definedName>
    <definedName name="WSA_OECD_default">#REF!</definedName>
    <definedName name="Z_a">Z_User_Input!$I$22</definedName>
    <definedName name="Z_Average_biocide_release_over_the_lifetime_of_the_paint_C">Z_User_Input!$I$30</definedName>
    <definedName name="Z_Average_biocide_release_over_the_lifetime_of_the_paint_M">Z_User_Input!$H$11</definedName>
    <definedName name="Z_Background_Sed_Freshwater">Z_User_Input!$C$20</definedName>
    <definedName name="Z_Background_SW_Freshwater">Z_User_Input!$C$19</definedName>
    <definedName name="Z_Compound_Name">Zineb_Input!$C$6</definedName>
    <definedName name="Z_DFT">Z_User_Input!$I$25</definedName>
    <definedName name="Z_La">Z_User_Input!$I$21</definedName>
    <definedName name="Z_Leaching_Conversion_Factor" localSheetId="11">'Z_De Marinas_Scenario_Calc'!$F$11</definedName>
    <definedName name="Z_Leaching_Conversion_Factor">#REF!</definedName>
    <definedName name="Z_Mrel">Z_User_Input!$I$29</definedName>
    <definedName name="Z_PNEC_Aquatic_Inside">Z_User_Input!$C$12</definedName>
    <definedName name="Z_PNEC_Aquatic_Surrounding">Z_User_Input!$D$12</definedName>
    <definedName name="Z_PNEC_Sediment_Inside">Z_User_Input!$C$13</definedName>
    <definedName name="Z_PNEC_Sediment_Surrounding">Z_User_Input!$D$13</definedName>
    <definedName name="Z_t">Z_User_Input!$I$27</definedName>
    <definedName name="Z_VS">Z_User_Input!$I$26</definedName>
    <definedName name="Z_ƿ">Z_User_Input!$I$24</definedName>
    <definedName name="Z_Wa">Z_User_Input!$I$23</definedName>
  </definedNames>
  <calcPr calcId="191029"/>
</workbook>
</file>

<file path=xl/calcChain.xml><?xml version="1.0" encoding="utf-8"?>
<calcChain xmlns="http://schemas.openxmlformats.org/spreadsheetml/2006/main">
  <c r="C49" i="20" l="1"/>
  <c r="D49" i="20"/>
  <c r="C50" i="20"/>
  <c r="D50" i="20"/>
  <c r="C51" i="20"/>
  <c r="D51" i="20"/>
  <c r="C52" i="20"/>
  <c r="D52" i="20"/>
  <c r="C53" i="20"/>
  <c r="D53" i="20"/>
  <c r="C54" i="20"/>
  <c r="D54" i="20"/>
  <c r="C55" i="20"/>
  <c r="D55" i="20"/>
  <c r="C56" i="20"/>
  <c r="D56" i="20"/>
  <c r="C57" i="20"/>
  <c r="D57" i="20"/>
  <c r="C58" i="20"/>
  <c r="D58" i="20"/>
  <c r="C59" i="20"/>
  <c r="D59" i="20"/>
  <c r="C60" i="20"/>
  <c r="D60" i="20"/>
  <c r="C61" i="20"/>
  <c r="D61" i="20"/>
  <c r="C62" i="20"/>
  <c r="D62" i="20"/>
  <c r="C63" i="20"/>
  <c r="D63" i="20"/>
  <c r="C64" i="20"/>
  <c r="D64" i="20"/>
  <c r="D48" i="20"/>
  <c r="C48" i="20"/>
  <c r="D7" i="41" l="1"/>
  <c r="D8" i="41"/>
  <c r="D9" i="41"/>
  <c r="D10" i="41"/>
  <c r="D11" i="41"/>
  <c r="D12" i="41"/>
  <c r="D13" i="41"/>
  <c r="D14" i="41"/>
  <c r="D15" i="41"/>
  <c r="D16" i="41"/>
  <c r="D17" i="41"/>
  <c r="D18" i="41"/>
  <c r="D19" i="41"/>
  <c r="D20" i="41"/>
  <c r="D21" i="41"/>
  <c r="D22" i="41"/>
  <c r="D23" i="41"/>
  <c r="D28" i="44" l="1"/>
  <c r="D27" i="44"/>
  <c r="D26" i="44"/>
  <c r="D25" i="44"/>
  <c r="D24" i="44"/>
  <c r="D23" i="44"/>
  <c r="D22" i="44"/>
  <c r="D21" i="44"/>
  <c r="D20" i="44"/>
  <c r="D19" i="44"/>
  <c r="D18" i="44"/>
  <c r="D17" i="44"/>
  <c r="D16" i="44"/>
  <c r="D15" i="44"/>
  <c r="D14" i="44"/>
  <c r="D13" i="44"/>
  <c r="D12" i="44"/>
  <c r="F8" i="44"/>
  <c r="F7" i="44"/>
  <c r="F6" i="44"/>
  <c r="F5" i="44"/>
  <c r="B3" i="44"/>
  <c r="D28" i="43"/>
  <c r="D27" i="43"/>
  <c r="D26" i="43"/>
  <c r="D25" i="43"/>
  <c r="D24" i="43"/>
  <c r="D23" i="43"/>
  <c r="D22" i="43"/>
  <c r="D21" i="43"/>
  <c r="D20" i="43"/>
  <c r="D19" i="43"/>
  <c r="D18" i="43"/>
  <c r="D17" i="43"/>
  <c r="D16" i="43"/>
  <c r="D15" i="43"/>
  <c r="D14" i="43"/>
  <c r="D13" i="43"/>
  <c r="D12" i="43"/>
  <c r="F8" i="43"/>
  <c r="F7" i="43"/>
  <c r="F6" i="43"/>
  <c r="F5" i="43"/>
  <c r="B3" i="43"/>
  <c r="D28" i="42"/>
  <c r="D27" i="42"/>
  <c r="D26" i="42"/>
  <c r="D25" i="42"/>
  <c r="D24" i="42"/>
  <c r="D23" i="42"/>
  <c r="D22" i="42"/>
  <c r="D21" i="42"/>
  <c r="D20" i="42"/>
  <c r="D19" i="42"/>
  <c r="D18" i="42"/>
  <c r="D17" i="42"/>
  <c r="D16" i="42"/>
  <c r="D15" i="42"/>
  <c r="D14" i="42"/>
  <c r="D13" i="42"/>
  <c r="D12" i="42"/>
  <c r="F8" i="42"/>
  <c r="F7" i="42"/>
  <c r="F6" i="42"/>
  <c r="F5" i="42"/>
  <c r="B3" i="42"/>
  <c r="B3" i="41"/>
  <c r="D37" i="40"/>
  <c r="D36" i="40"/>
  <c r="D35" i="40"/>
  <c r="D34" i="40"/>
  <c r="D33" i="40"/>
  <c r="D32" i="40"/>
  <c r="D31" i="40"/>
  <c r="D30" i="40"/>
  <c r="D29" i="40"/>
  <c r="D28" i="40"/>
  <c r="D27" i="40"/>
  <c r="D26" i="40"/>
  <c r="D25" i="40"/>
  <c r="D24" i="40"/>
  <c r="D23" i="40"/>
  <c r="D22" i="40"/>
  <c r="Q21" i="40"/>
  <c r="P21" i="40"/>
  <c r="O21" i="40"/>
  <c r="N21" i="40"/>
  <c r="D21" i="40"/>
  <c r="F16" i="40"/>
  <c r="F17" i="40" s="1"/>
  <c r="F9" i="40"/>
  <c r="F7" i="40"/>
  <c r="B3" i="40"/>
  <c r="D37" i="39"/>
  <c r="D36" i="39"/>
  <c r="D35" i="39"/>
  <c r="D34" i="39"/>
  <c r="D33" i="39"/>
  <c r="D32" i="39"/>
  <c r="D31" i="39"/>
  <c r="D30" i="39"/>
  <c r="D29" i="39"/>
  <c r="D28" i="39"/>
  <c r="D27" i="39"/>
  <c r="D26" i="39"/>
  <c r="D25" i="39"/>
  <c r="D24" i="39"/>
  <c r="D23" i="39"/>
  <c r="D22" i="39"/>
  <c r="Q21" i="39"/>
  <c r="P21" i="39"/>
  <c r="O21" i="39"/>
  <c r="N21" i="39"/>
  <c r="D21" i="39"/>
  <c r="F16" i="39"/>
  <c r="F17" i="39" s="1"/>
  <c r="F9" i="39"/>
  <c r="F7" i="39"/>
  <c r="B3" i="39"/>
  <c r="F23" i="31" l="1"/>
  <c r="E23" i="31"/>
  <c r="F19" i="31"/>
  <c r="F18" i="31"/>
  <c r="F17" i="31"/>
  <c r="F16" i="31"/>
  <c r="E12" i="31"/>
  <c r="D7" i="31"/>
  <c r="D6" i="31"/>
  <c r="C4" i="31"/>
  <c r="L3" i="31"/>
  <c r="F23" i="30"/>
  <c r="E23" i="30"/>
  <c r="F19" i="30"/>
  <c r="F18" i="30"/>
  <c r="F17" i="30"/>
  <c r="F16" i="30"/>
  <c r="E12" i="30"/>
  <c r="D7" i="30"/>
  <c r="D6" i="30"/>
  <c r="C4" i="30"/>
  <c r="L3" i="30"/>
  <c r="F31" i="20"/>
  <c r="E31" i="20"/>
  <c r="C29" i="20"/>
  <c r="F26" i="20"/>
  <c r="E26" i="20"/>
  <c r="C24" i="20"/>
  <c r="G21" i="20"/>
  <c r="F21" i="20"/>
  <c r="G20" i="20"/>
  <c r="F20" i="20"/>
  <c r="G19" i="20"/>
  <c r="F19" i="20"/>
  <c r="G18" i="20"/>
  <c r="F18" i="20"/>
  <c r="G17" i="20"/>
  <c r="F17" i="20"/>
  <c r="G13" i="20"/>
  <c r="F13" i="20"/>
  <c r="G12" i="20"/>
  <c r="F12" i="20"/>
  <c r="D7" i="20"/>
  <c r="D6" i="20"/>
  <c r="C4" i="20"/>
  <c r="L3" i="20"/>
  <c r="B3" i="29"/>
  <c r="B3" i="3"/>
  <c r="I29" i="38"/>
  <c r="I30" i="38" s="1"/>
  <c r="H7" i="38"/>
  <c r="B6" i="38"/>
  <c r="B3" i="38"/>
  <c r="I29" i="10"/>
  <c r="I30" i="10" s="1"/>
  <c r="B6" i="10"/>
  <c r="B3" i="10"/>
  <c r="F8" i="40" l="1"/>
  <c r="F10" i="40"/>
  <c r="F11" i="40" s="1"/>
  <c r="F8" i="39"/>
  <c r="F10" i="39"/>
  <c r="F11" i="39" s="1"/>
  <c r="J21" i="39" s="1"/>
  <c r="E13" i="31"/>
  <c r="F14" i="20"/>
  <c r="G14" i="20"/>
  <c r="E13" i="30"/>
  <c r="M37" i="40" l="1"/>
  <c r="U37" i="40" s="1"/>
  <c r="K22" i="40"/>
  <c r="S22" i="40" s="1"/>
  <c r="M22" i="40"/>
  <c r="U22" i="40" s="1"/>
  <c r="K23" i="40"/>
  <c r="S23" i="40" s="1"/>
  <c r="M23" i="40"/>
  <c r="U23" i="40" s="1"/>
  <c r="K24" i="40"/>
  <c r="S24" i="40" s="1"/>
  <c r="M24" i="40"/>
  <c r="U24" i="40" s="1"/>
  <c r="K25" i="40"/>
  <c r="S25" i="40" s="1"/>
  <c r="M25" i="40"/>
  <c r="U25" i="40" s="1"/>
  <c r="K26" i="40"/>
  <c r="S26" i="40" s="1"/>
  <c r="M26" i="40"/>
  <c r="U26" i="40" s="1"/>
  <c r="K27" i="40"/>
  <c r="S27" i="40" s="1"/>
  <c r="M27" i="40"/>
  <c r="U27" i="40" s="1"/>
  <c r="K28" i="40"/>
  <c r="S28" i="40" s="1"/>
  <c r="M28" i="40"/>
  <c r="K29" i="40"/>
  <c r="S29" i="40" s="1"/>
  <c r="M29" i="40"/>
  <c r="U29" i="40" s="1"/>
  <c r="K30" i="40"/>
  <c r="S30" i="40" s="1"/>
  <c r="M30" i="40"/>
  <c r="U30" i="40" s="1"/>
  <c r="K31" i="40"/>
  <c r="S31" i="40" s="1"/>
  <c r="M31" i="40"/>
  <c r="U31" i="40" s="1"/>
  <c r="K32" i="40"/>
  <c r="S32" i="40" s="1"/>
  <c r="M32" i="40"/>
  <c r="U32" i="40" s="1"/>
  <c r="K33" i="40"/>
  <c r="S33" i="40" s="1"/>
  <c r="M33" i="40"/>
  <c r="U33" i="40" s="1"/>
  <c r="K34" i="40"/>
  <c r="S34" i="40" s="1"/>
  <c r="M34" i="40"/>
  <c r="U34" i="40" s="1"/>
  <c r="K35" i="40"/>
  <c r="S35" i="40" s="1"/>
  <c r="M35" i="40"/>
  <c r="U35" i="40" s="1"/>
  <c r="K36" i="40"/>
  <c r="S36" i="40" s="1"/>
  <c r="M36" i="40"/>
  <c r="U36" i="40" s="1"/>
  <c r="K37" i="40"/>
  <c r="S37" i="40" s="1"/>
  <c r="J22" i="40"/>
  <c r="L22" i="40"/>
  <c r="T22" i="40" s="1"/>
  <c r="J23" i="40"/>
  <c r="L23" i="40"/>
  <c r="T23" i="40" s="1"/>
  <c r="J24" i="40"/>
  <c r="L24" i="40"/>
  <c r="T24" i="40" s="1"/>
  <c r="J25" i="40"/>
  <c r="L25" i="40"/>
  <c r="T25" i="40" s="1"/>
  <c r="J26" i="40"/>
  <c r="L26" i="40"/>
  <c r="T26" i="40" s="1"/>
  <c r="J27" i="40"/>
  <c r="L27" i="40"/>
  <c r="T27" i="40" s="1"/>
  <c r="J28" i="40"/>
  <c r="L28" i="40"/>
  <c r="T28" i="40" s="1"/>
  <c r="J29" i="40"/>
  <c r="L29" i="40"/>
  <c r="T29" i="40" s="1"/>
  <c r="J30" i="40"/>
  <c r="L30" i="40"/>
  <c r="T30" i="40" s="1"/>
  <c r="J31" i="40"/>
  <c r="L31" i="40"/>
  <c r="T31" i="40" s="1"/>
  <c r="J32" i="40"/>
  <c r="L32" i="40"/>
  <c r="T32" i="40" s="1"/>
  <c r="J33" i="40"/>
  <c r="L33" i="40"/>
  <c r="T33" i="40" s="1"/>
  <c r="J34" i="40"/>
  <c r="L34" i="40"/>
  <c r="T34" i="40" s="1"/>
  <c r="J35" i="40"/>
  <c r="L35" i="40"/>
  <c r="T35" i="40" s="1"/>
  <c r="J36" i="40"/>
  <c r="L36" i="40"/>
  <c r="T36" i="40" s="1"/>
  <c r="J37" i="40"/>
  <c r="L37" i="40"/>
  <c r="T37" i="40" s="1"/>
  <c r="K22" i="39"/>
  <c r="M22" i="39"/>
  <c r="K23" i="39"/>
  <c r="K24" i="39"/>
  <c r="S24" i="39" s="1"/>
  <c r="K25" i="39"/>
  <c r="K26" i="39"/>
  <c r="S26" i="39" s="1"/>
  <c r="M26" i="39"/>
  <c r="M27" i="39"/>
  <c r="M28" i="39"/>
  <c r="U28" i="39" s="1"/>
  <c r="M29" i="39"/>
  <c r="U29" i="39" s="1"/>
  <c r="M30" i="39"/>
  <c r="M31" i="39"/>
  <c r="U31" i="39" s="1"/>
  <c r="M32" i="39"/>
  <c r="M33" i="39"/>
  <c r="U33" i="39" s="1"/>
  <c r="M34" i="39"/>
  <c r="M35" i="39"/>
  <c r="U35" i="39" s="1"/>
  <c r="M36" i="39"/>
  <c r="M21" i="39"/>
  <c r="J37" i="39"/>
  <c r="R37" i="39" s="1"/>
  <c r="J22" i="39"/>
  <c r="R22" i="39" s="1"/>
  <c r="L22" i="39"/>
  <c r="T22" i="39" s="1"/>
  <c r="J23" i="39"/>
  <c r="R23" i="39" s="1"/>
  <c r="L23" i="39"/>
  <c r="T23" i="39" s="1"/>
  <c r="J24" i="39"/>
  <c r="R24" i="39" s="1"/>
  <c r="L24" i="39"/>
  <c r="T24" i="39" s="1"/>
  <c r="J25" i="39"/>
  <c r="R25" i="39" s="1"/>
  <c r="L25" i="39"/>
  <c r="T25" i="39" s="1"/>
  <c r="J26" i="39"/>
  <c r="R26" i="39" s="1"/>
  <c r="L26" i="39"/>
  <c r="T26" i="39" s="1"/>
  <c r="J27" i="39"/>
  <c r="R27" i="39" s="1"/>
  <c r="L27" i="39"/>
  <c r="T27" i="39" s="1"/>
  <c r="J28" i="39"/>
  <c r="R28" i="39" s="1"/>
  <c r="L28" i="39"/>
  <c r="J29" i="39"/>
  <c r="R29" i="39" s="1"/>
  <c r="L29" i="39"/>
  <c r="T29" i="39" s="1"/>
  <c r="J30" i="39"/>
  <c r="R30" i="39" s="1"/>
  <c r="L30" i="39"/>
  <c r="T30" i="39" s="1"/>
  <c r="J31" i="39"/>
  <c r="R31" i="39" s="1"/>
  <c r="L31" i="39"/>
  <c r="T31" i="39" s="1"/>
  <c r="J32" i="39"/>
  <c r="L32" i="39"/>
  <c r="J33" i="39"/>
  <c r="L33" i="39"/>
  <c r="T33" i="39" s="1"/>
  <c r="J34" i="39"/>
  <c r="R34" i="39" s="1"/>
  <c r="L34" i="39"/>
  <c r="T34" i="39" s="1"/>
  <c r="J35" i="39"/>
  <c r="R35" i="39" s="1"/>
  <c r="L35" i="39"/>
  <c r="T35" i="39" s="1"/>
  <c r="J36" i="39"/>
  <c r="R36" i="39" s="1"/>
  <c r="L36" i="39"/>
  <c r="T36" i="39" s="1"/>
  <c r="K37" i="39"/>
  <c r="M37" i="39"/>
  <c r="U37" i="39" s="1"/>
  <c r="L21" i="39"/>
  <c r="M23" i="39"/>
  <c r="U23" i="39" s="1"/>
  <c r="M24" i="39"/>
  <c r="U24" i="39" s="1"/>
  <c r="M25" i="39"/>
  <c r="U25" i="39" s="1"/>
  <c r="K27" i="39"/>
  <c r="S27" i="39" s="1"/>
  <c r="K28" i="39"/>
  <c r="K29" i="39"/>
  <c r="S29" i="39" s="1"/>
  <c r="K30" i="39"/>
  <c r="K31" i="39"/>
  <c r="S31" i="39" s="1"/>
  <c r="K32" i="39"/>
  <c r="K33" i="39"/>
  <c r="K34" i="39"/>
  <c r="K35" i="39"/>
  <c r="S35" i="39" s="1"/>
  <c r="K36" i="39"/>
  <c r="L37" i="39"/>
  <c r="T37" i="39" s="1"/>
  <c r="K21" i="39"/>
  <c r="M21" i="40"/>
  <c r="M38" i="40" s="1"/>
  <c r="J21" i="40"/>
  <c r="J38" i="40" s="1"/>
  <c r="K21" i="40"/>
  <c r="L21" i="40"/>
  <c r="S37" i="39"/>
  <c r="S33" i="39"/>
  <c r="T32" i="39"/>
  <c r="R32" i="39"/>
  <c r="U27" i="39"/>
  <c r="R33" i="39"/>
  <c r="U22" i="39"/>
  <c r="L38" i="40" l="1"/>
  <c r="G29" i="30"/>
  <c r="G29" i="43"/>
  <c r="E29" i="30"/>
  <c r="E29" i="43"/>
  <c r="K38" i="40"/>
  <c r="H29" i="30"/>
  <c r="H29" i="43"/>
  <c r="L38" i="39"/>
  <c r="M38" i="39"/>
  <c r="J38" i="39"/>
  <c r="K38" i="39"/>
  <c r="E55" i="30"/>
  <c r="E28" i="43"/>
  <c r="E54" i="30"/>
  <c r="E27" i="43"/>
  <c r="E53" i="30"/>
  <c r="E26" i="43"/>
  <c r="E52" i="30"/>
  <c r="E25" i="43"/>
  <c r="E51" i="30"/>
  <c r="E24" i="43"/>
  <c r="E50" i="30"/>
  <c r="E23" i="43"/>
  <c r="E49" i="30"/>
  <c r="E22" i="43"/>
  <c r="E48" i="30"/>
  <c r="E21" i="43"/>
  <c r="E47" i="30"/>
  <c r="E20" i="43"/>
  <c r="E46" i="30"/>
  <c r="E19" i="43"/>
  <c r="E45" i="30"/>
  <c r="E18" i="43"/>
  <c r="E44" i="30"/>
  <c r="E17" i="43"/>
  <c r="E43" i="30"/>
  <c r="E16" i="43"/>
  <c r="E42" i="30"/>
  <c r="E15" i="43"/>
  <c r="E41" i="30"/>
  <c r="E14" i="43"/>
  <c r="E40" i="30"/>
  <c r="E13" i="43"/>
  <c r="H27" i="43"/>
  <c r="H54" i="30"/>
  <c r="H26" i="43"/>
  <c r="H53" i="30"/>
  <c r="H25" i="43"/>
  <c r="H52" i="30"/>
  <c r="H24" i="43"/>
  <c r="H51" i="30"/>
  <c r="H23" i="43"/>
  <c r="H50" i="30"/>
  <c r="H22" i="43"/>
  <c r="H49" i="30"/>
  <c r="H21" i="43"/>
  <c r="H48" i="30"/>
  <c r="H20" i="43"/>
  <c r="H47" i="30"/>
  <c r="H19" i="43"/>
  <c r="H46" i="30"/>
  <c r="H18" i="43"/>
  <c r="H45" i="30"/>
  <c r="H17" i="43"/>
  <c r="H44" i="30"/>
  <c r="H16" i="43"/>
  <c r="H43" i="30"/>
  <c r="H15" i="43"/>
  <c r="H42" i="30"/>
  <c r="H14" i="43"/>
  <c r="H41" i="30"/>
  <c r="H13" i="43"/>
  <c r="H40" i="30"/>
  <c r="H28" i="43"/>
  <c r="H55" i="30"/>
  <c r="R24" i="40"/>
  <c r="I15" i="43" s="1"/>
  <c r="R26" i="40"/>
  <c r="I17" i="43" s="1"/>
  <c r="U28" i="40"/>
  <c r="L19" i="43" s="1"/>
  <c r="R30" i="40"/>
  <c r="E69" i="30" s="1"/>
  <c r="R32" i="40"/>
  <c r="E71" i="30" s="1"/>
  <c r="R34" i="40"/>
  <c r="I25" i="43" s="1"/>
  <c r="R36" i="40"/>
  <c r="E75" i="30" s="1"/>
  <c r="R23" i="40"/>
  <c r="I14" i="43" s="1"/>
  <c r="R25" i="40"/>
  <c r="E64" i="30" s="1"/>
  <c r="R27" i="40"/>
  <c r="E66" i="30" s="1"/>
  <c r="R28" i="40"/>
  <c r="E67" i="30" s="1"/>
  <c r="R29" i="40"/>
  <c r="I20" i="43" s="1"/>
  <c r="R31" i="40"/>
  <c r="I22" i="43" s="1"/>
  <c r="R33" i="40"/>
  <c r="E72" i="30" s="1"/>
  <c r="R35" i="40"/>
  <c r="E74" i="30" s="1"/>
  <c r="R37" i="40"/>
  <c r="E76" i="30" s="1"/>
  <c r="G28" i="43"/>
  <c r="G55" i="30"/>
  <c r="G27" i="43"/>
  <c r="G54" i="30"/>
  <c r="G26" i="43"/>
  <c r="G53" i="30"/>
  <c r="G25" i="43"/>
  <c r="G52" i="30"/>
  <c r="G24" i="43"/>
  <c r="G51" i="30"/>
  <c r="G23" i="43"/>
  <c r="G50" i="30"/>
  <c r="G22" i="43"/>
  <c r="G49" i="30"/>
  <c r="G21" i="43"/>
  <c r="G48" i="30"/>
  <c r="G20" i="43"/>
  <c r="G47" i="30"/>
  <c r="G19" i="43"/>
  <c r="G46" i="30"/>
  <c r="G18" i="43"/>
  <c r="G45" i="30"/>
  <c r="G17" i="43"/>
  <c r="G44" i="30"/>
  <c r="G16" i="43"/>
  <c r="G43" i="30"/>
  <c r="G15" i="43"/>
  <c r="G42" i="30"/>
  <c r="G14" i="43"/>
  <c r="G41" i="30"/>
  <c r="G13" i="43"/>
  <c r="G40" i="30"/>
  <c r="F28" i="43"/>
  <c r="F55" i="30"/>
  <c r="F27" i="43"/>
  <c r="F54" i="30"/>
  <c r="F26" i="43"/>
  <c r="F53" i="30"/>
  <c r="F25" i="43"/>
  <c r="F52" i="30"/>
  <c r="F24" i="43"/>
  <c r="F51" i="30"/>
  <c r="F23" i="43"/>
  <c r="F50" i="30"/>
  <c r="F22" i="43"/>
  <c r="F49" i="30"/>
  <c r="F21" i="43"/>
  <c r="F48" i="30"/>
  <c r="F20" i="43"/>
  <c r="F47" i="30"/>
  <c r="F19" i="43"/>
  <c r="F46" i="30"/>
  <c r="F18" i="43"/>
  <c r="F45" i="30"/>
  <c r="F17" i="43"/>
  <c r="F44" i="30"/>
  <c r="F16" i="43"/>
  <c r="F43" i="30"/>
  <c r="F15" i="43"/>
  <c r="F42" i="30"/>
  <c r="F14" i="43"/>
  <c r="F41" i="30"/>
  <c r="F13" i="43"/>
  <c r="F40" i="30"/>
  <c r="K39" i="39"/>
  <c r="F39" i="31"/>
  <c r="F12" i="42"/>
  <c r="F54" i="31"/>
  <c r="F27" i="42"/>
  <c r="F25" i="42"/>
  <c r="F52" i="31"/>
  <c r="F50" i="31"/>
  <c r="F23" i="42"/>
  <c r="F21" i="42"/>
  <c r="F48" i="31"/>
  <c r="F46" i="31"/>
  <c r="F19" i="42"/>
  <c r="H43" i="31"/>
  <c r="H16" i="42"/>
  <c r="H41" i="31"/>
  <c r="H14" i="42"/>
  <c r="H28" i="42"/>
  <c r="H55" i="31"/>
  <c r="G27" i="42"/>
  <c r="G54" i="31"/>
  <c r="G53" i="31"/>
  <c r="G26" i="42"/>
  <c r="G52" i="31"/>
  <c r="G25" i="42"/>
  <c r="G51" i="31"/>
  <c r="G24" i="42"/>
  <c r="G50" i="31"/>
  <c r="G23" i="42"/>
  <c r="G49" i="31"/>
  <c r="G22" i="42"/>
  <c r="G48" i="31"/>
  <c r="G21" i="42"/>
  <c r="G47" i="31"/>
  <c r="G20" i="42"/>
  <c r="G46" i="31"/>
  <c r="G19" i="42"/>
  <c r="G45" i="31"/>
  <c r="G18" i="42"/>
  <c r="G44" i="31"/>
  <c r="G17" i="42"/>
  <c r="G43" i="31"/>
  <c r="G16" i="42"/>
  <c r="G42" i="31"/>
  <c r="G15" i="42"/>
  <c r="G41" i="31"/>
  <c r="G14" i="42"/>
  <c r="G40" i="31"/>
  <c r="G13" i="42"/>
  <c r="E55" i="31"/>
  <c r="E28" i="42"/>
  <c r="H27" i="42"/>
  <c r="H54" i="31"/>
  <c r="H52" i="31"/>
  <c r="H25" i="42"/>
  <c r="H23" i="42"/>
  <c r="H50" i="31"/>
  <c r="H48" i="31"/>
  <c r="H21" i="42"/>
  <c r="H46" i="31"/>
  <c r="H19" i="42"/>
  <c r="H17" i="42"/>
  <c r="H44" i="31"/>
  <c r="F43" i="31"/>
  <c r="F16" i="42"/>
  <c r="F41" i="31"/>
  <c r="F14" i="42"/>
  <c r="F40" i="31"/>
  <c r="F13" i="42"/>
  <c r="S22" i="39"/>
  <c r="J13" i="42" s="1"/>
  <c r="T28" i="39"/>
  <c r="K19" i="42" s="1"/>
  <c r="S30" i="39"/>
  <c r="J21" i="42" s="1"/>
  <c r="S32" i="39"/>
  <c r="J23" i="42" s="1"/>
  <c r="S34" i="39"/>
  <c r="J25" i="42" s="1"/>
  <c r="S36" i="39"/>
  <c r="F75" i="31" s="1"/>
  <c r="U26" i="39"/>
  <c r="L17" i="42" s="1"/>
  <c r="U30" i="39"/>
  <c r="L21" i="42" s="1"/>
  <c r="U32" i="39"/>
  <c r="L23" i="42" s="1"/>
  <c r="U34" i="39"/>
  <c r="L25" i="42" s="1"/>
  <c r="U36" i="39"/>
  <c r="L27" i="42" s="1"/>
  <c r="S23" i="39"/>
  <c r="J14" i="42" s="1"/>
  <c r="S25" i="39"/>
  <c r="J16" i="42" s="1"/>
  <c r="S28" i="39"/>
  <c r="J19" i="42" s="1"/>
  <c r="G55" i="31"/>
  <c r="G28" i="42"/>
  <c r="F53" i="31"/>
  <c r="F26" i="42"/>
  <c r="F51" i="31"/>
  <c r="F24" i="42"/>
  <c r="F49" i="31"/>
  <c r="F22" i="42"/>
  <c r="F47" i="31"/>
  <c r="F20" i="42"/>
  <c r="F45" i="31"/>
  <c r="F18" i="42"/>
  <c r="H42" i="31"/>
  <c r="H15" i="42"/>
  <c r="G12" i="42"/>
  <c r="L39" i="39"/>
  <c r="G39" i="31"/>
  <c r="F55" i="31"/>
  <c r="F28" i="42"/>
  <c r="E27" i="42"/>
  <c r="E54" i="31"/>
  <c r="E53" i="31"/>
  <c r="E26" i="42"/>
  <c r="E52" i="31"/>
  <c r="E25" i="42"/>
  <c r="E51" i="31"/>
  <c r="E24" i="42"/>
  <c r="E50" i="31"/>
  <c r="E23" i="42"/>
  <c r="E49" i="31"/>
  <c r="E22" i="42"/>
  <c r="E48" i="31"/>
  <c r="E21" i="42"/>
  <c r="E47" i="31"/>
  <c r="E20" i="42"/>
  <c r="E46" i="31"/>
  <c r="E19" i="42"/>
  <c r="E45" i="31"/>
  <c r="E18" i="42"/>
  <c r="E44" i="31"/>
  <c r="E17" i="42"/>
  <c r="E43" i="31"/>
  <c r="E16" i="42"/>
  <c r="E42" i="31"/>
  <c r="E15" i="42"/>
  <c r="E41" i="31"/>
  <c r="E14" i="42"/>
  <c r="E40" i="31"/>
  <c r="E13" i="42"/>
  <c r="H39" i="31"/>
  <c r="H12" i="42"/>
  <c r="M39" i="39"/>
  <c r="M40" i="39"/>
  <c r="H53" i="31"/>
  <c r="H26" i="42"/>
  <c r="H51" i="31"/>
  <c r="H24" i="42"/>
  <c r="H49" i="31"/>
  <c r="H22" i="42"/>
  <c r="H47" i="31"/>
  <c r="H20" i="42"/>
  <c r="H45" i="31"/>
  <c r="H18" i="42"/>
  <c r="F44" i="31"/>
  <c r="F17" i="42"/>
  <c r="F15" i="42"/>
  <c r="F42" i="31"/>
  <c r="H13" i="42"/>
  <c r="H40" i="31"/>
  <c r="E39" i="31"/>
  <c r="J39" i="39"/>
  <c r="E12" i="42"/>
  <c r="F61" i="31"/>
  <c r="F63" i="31"/>
  <c r="J15" i="42"/>
  <c r="F71" i="31"/>
  <c r="F73" i="31"/>
  <c r="H61" i="31"/>
  <c r="L13" i="42"/>
  <c r="H63" i="31"/>
  <c r="L15" i="42"/>
  <c r="H69" i="31"/>
  <c r="H75" i="31"/>
  <c r="E61" i="31"/>
  <c r="I13" i="42"/>
  <c r="E63" i="31"/>
  <c r="I15" i="42"/>
  <c r="E65" i="31"/>
  <c r="I17" i="42"/>
  <c r="F66" i="31"/>
  <c r="J18" i="42"/>
  <c r="F68" i="31"/>
  <c r="J20" i="42"/>
  <c r="E69" i="31"/>
  <c r="I21" i="42"/>
  <c r="F70" i="31"/>
  <c r="J22" i="42"/>
  <c r="E71" i="31"/>
  <c r="I23" i="42"/>
  <c r="F72" i="31"/>
  <c r="J24" i="42"/>
  <c r="E73" i="31"/>
  <c r="I25" i="42"/>
  <c r="F74" i="31"/>
  <c r="J26" i="42"/>
  <c r="E75" i="31"/>
  <c r="I27" i="42"/>
  <c r="G62" i="31"/>
  <c r="K14" i="42"/>
  <c r="G64" i="31"/>
  <c r="K16" i="42"/>
  <c r="G66" i="31"/>
  <c r="K18" i="42"/>
  <c r="G68" i="31"/>
  <c r="K20" i="42"/>
  <c r="G70" i="31"/>
  <c r="K22" i="42"/>
  <c r="G72" i="31"/>
  <c r="K24" i="42"/>
  <c r="G74" i="31"/>
  <c r="K26" i="42"/>
  <c r="G76" i="31"/>
  <c r="K28" i="42"/>
  <c r="E62" i="31"/>
  <c r="I14" i="42"/>
  <c r="E64" i="31"/>
  <c r="I16" i="42"/>
  <c r="E66" i="31"/>
  <c r="I18" i="42"/>
  <c r="E67" i="31"/>
  <c r="I19" i="42"/>
  <c r="E68" i="31"/>
  <c r="I20" i="42"/>
  <c r="E70" i="31"/>
  <c r="I22" i="42"/>
  <c r="E72" i="31"/>
  <c r="I24" i="42"/>
  <c r="E74" i="31"/>
  <c r="I26" i="42"/>
  <c r="E76" i="31"/>
  <c r="I28" i="42"/>
  <c r="G61" i="31"/>
  <c r="K13" i="42"/>
  <c r="H62" i="31"/>
  <c r="L14" i="42"/>
  <c r="G63" i="31"/>
  <c r="K15" i="42"/>
  <c r="H64" i="31"/>
  <c r="L16" i="42"/>
  <c r="G65" i="31"/>
  <c r="K17" i="42"/>
  <c r="H66" i="31"/>
  <c r="L18" i="42"/>
  <c r="H67" i="31"/>
  <c r="L19" i="42"/>
  <c r="H68" i="31"/>
  <c r="L20" i="42"/>
  <c r="G69" i="31"/>
  <c r="K21" i="42"/>
  <c r="H70" i="31"/>
  <c r="L22" i="42"/>
  <c r="G71" i="31"/>
  <c r="K23" i="42"/>
  <c r="H72" i="31"/>
  <c r="L24" i="42"/>
  <c r="G73" i="31"/>
  <c r="K25" i="42"/>
  <c r="H74" i="31"/>
  <c r="L26" i="42"/>
  <c r="G75" i="31"/>
  <c r="K27" i="42"/>
  <c r="H76" i="31"/>
  <c r="L28" i="42"/>
  <c r="F65" i="31"/>
  <c r="J17" i="42"/>
  <c r="J27" i="42"/>
  <c r="F76" i="31"/>
  <c r="J28" i="42"/>
  <c r="L14" i="43"/>
  <c r="H62" i="30"/>
  <c r="H9" i="41"/>
  <c r="L16" i="43"/>
  <c r="H64" i="30"/>
  <c r="H11" i="41"/>
  <c r="L18" i="43"/>
  <c r="H66" i="30"/>
  <c r="H13" i="41"/>
  <c r="L20" i="43"/>
  <c r="H68" i="30"/>
  <c r="H15" i="41"/>
  <c r="L22" i="43"/>
  <c r="H70" i="30"/>
  <c r="H17" i="41"/>
  <c r="L24" i="43"/>
  <c r="H72" i="30"/>
  <c r="H19" i="41"/>
  <c r="L26" i="43"/>
  <c r="H74" i="30"/>
  <c r="H21" i="41"/>
  <c r="H76" i="30"/>
  <c r="L28" i="43"/>
  <c r="H23" i="41"/>
  <c r="F62" i="30"/>
  <c r="J14" i="43"/>
  <c r="F64" i="30"/>
  <c r="J16" i="43"/>
  <c r="F66" i="30"/>
  <c r="J18" i="43"/>
  <c r="F13" i="41"/>
  <c r="F67" i="30"/>
  <c r="J19" i="43"/>
  <c r="F68" i="30"/>
  <c r="J20" i="43"/>
  <c r="F15" i="41"/>
  <c r="F70" i="30"/>
  <c r="J22" i="43"/>
  <c r="F17" i="41"/>
  <c r="F72" i="30"/>
  <c r="J24" i="43"/>
  <c r="F19" i="41"/>
  <c r="F74" i="30"/>
  <c r="J26" i="43"/>
  <c r="F21" i="41"/>
  <c r="F76" i="30"/>
  <c r="J28" i="43"/>
  <c r="F23" i="41"/>
  <c r="H61" i="30"/>
  <c r="L13" i="43"/>
  <c r="H8" i="41"/>
  <c r="G62" i="30"/>
  <c r="K14" i="43"/>
  <c r="G9" i="41"/>
  <c r="H63" i="30"/>
  <c r="L15" i="43"/>
  <c r="H10" i="41"/>
  <c r="G64" i="30"/>
  <c r="K16" i="43"/>
  <c r="G11" i="41"/>
  <c r="H65" i="30"/>
  <c r="L17" i="43"/>
  <c r="G66" i="30"/>
  <c r="K18" i="43"/>
  <c r="G13" i="41"/>
  <c r="G67" i="30"/>
  <c r="K19" i="43"/>
  <c r="G68" i="30"/>
  <c r="K20" i="43"/>
  <c r="G15" i="41"/>
  <c r="H69" i="30"/>
  <c r="L21" i="43"/>
  <c r="G70" i="30"/>
  <c r="K22" i="43"/>
  <c r="G17" i="41"/>
  <c r="H71" i="30"/>
  <c r="L23" i="43"/>
  <c r="G72" i="30"/>
  <c r="K24" i="43"/>
  <c r="G19" i="41"/>
  <c r="H73" i="30"/>
  <c r="L25" i="43"/>
  <c r="G74" i="30"/>
  <c r="K26" i="43"/>
  <c r="G21" i="41"/>
  <c r="H75" i="30"/>
  <c r="L27" i="43"/>
  <c r="G76" i="30"/>
  <c r="K28" i="43"/>
  <c r="G23" i="41"/>
  <c r="F39" i="30"/>
  <c r="F12" i="43"/>
  <c r="K39" i="40"/>
  <c r="H39" i="30"/>
  <c r="H12" i="43"/>
  <c r="M39" i="40"/>
  <c r="E65" i="30"/>
  <c r="E20" i="41"/>
  <c r="G61" i="30"/>
  <c r="K13" i="43"/>
  <c r="G8" i="41"/>
  <c r="G49" i="20" s="1"/>
  <c r="G63" i="30"/>
  <c r="K15" i="43"/>
  <c r="G10" i="41"/>
  <c r="G65" i="30"/>
  <c r="K17" i="43"/>
  <c r="G12" i="41"/>
  <c r="G69" i="30"/>
  <c r="K21" i="43"/>
  <c r="G16" i="41"/>
  <c r="G71" i="30"/>
  <c r="K23" i="43"/>
  <c r="G18" i="41"/>
  <c r="G73" i="30"/>
  <c r="K25" i="43"/>
  <c r="G20" i="41"/>
  <c r="G75" i="30"/>
  <c r="K27" i="43"/>
  <c r="G22" i="41"/>
  <c r="F61" i="30"/>
  <c r="J13" i="43"/>
  <c r="E62" i="30"/>
  <c r="F63" i="30"/>
  <c r="J15" i="43"/>
  <c r="F10" i="41"/>
  <c r="F65" i="30"/>
  <c r="J17" i="43"/>
  <c r="F12" i="41"/>
  <c r="E15" i="41"/>
  <c r="F69" i="30"/>
  <c r="J21" i="43"/>
  <c r="F71" i="30"/>
  <c r="J23" i="43"/>
  <c r="F73" i="30"/>
  <c r="J25" i="43"/>
  <c r="F75" i="30"/>
  <c r="J27" i="43"/>
  <c r="G39" i="30"/>
  <c r="G12" i="43"/>
  <c r="L39" i="40"/>
  <c r="R21" i="40"/>
  <c r="E39" i="30"/>
  <c r="E12" i="43"/>
  <c r="J39" i="40"/>
  <c r="R22" i="40"/>
  <c r="M47" i="40"/>
  <c r="M46" i="40"/>
  <c r="M45" i="40"/>
  <c r="M44" i="40"/>
  <c r="M43" i="40"/>
  <c r="M42" i="40"/>
  <c r="M41" i="40"/>
  <c r="M40" i="40"/>
  <c r="U21" i="40"/>
  <c r="U38" i="40" s="1"/>
  <c r="L47" i="40"/>
  <c r="L46" i="40"/>
  <c r="L45" i="40"/>
  <c r="L44" i="40"/>
  <c r="L43" i="40"/>
  <c r="L42" i="40"/>
  <c r="L41" i="40"/>
  <c r="L40" i="40"/>
  <c r="T21" i="40"/>
  <c r="T38" i="40" s="1"/>
  <c r="K47" i="40"/>
  <c r="K46" i="40"/>
  <c r="K45" i="40"/>
  <c r="K44" i="40"/>
  <c r="K43" i="40"/>
  <c r="K42" i="40"/>
  <c r="K41" i="40"/>
  <c r="K40" i="40"/>
  <c r="S21" i="40"/>
  <c r="S38" i="40" s="1"/>
  <c r="J47" i="40"/>
  <c r="J46" i="40"/>
  <c r="J45" i="40"/>
  <c r="J44" i="40"/>
  <c r="J43" i="40"/>
  <c r="J42" i="40"/>
  <c r="J41" i="40"/>
  <c r="J40" i="40"/>
  <c r="L47" i="39"/>
  <c r="L46" i="39"/>
  <c r="L45" i="39"/>
  <c r="L44" i="39"/>
  <c r="L43" i="39"/>
  <c r="L42" i="39"/>
  <c r="L41" i="39"/>
  <c r="L40" i="39"/>
  <c r="T21" i="39"/>
  <c r="M47" i="39"/>
  <c r="M46" i="39"/>
  <c r="M45" i="39"/>
  <c r="M44" i="39"/>
  <c r="M43" i="39"/>
  <c r="M42" i="39"/>
  <c r="M41" i="39"/>
  <c r="U21" i="39"/>
  <c r="J47" i="39"/>
  <c r="J46" i="39"/>
  <c r="J45" i="39"/>
  <c r="J44" i="39"/>
  <c r="J43" i="39"/>
  <c r="J42" i="39"/>
  <c r="J41" i="39"/>
  <c r="J40" i="39"/>
  <c r="R21" i="39"/>
  <c r="K47" i="39"/>
  <c r="K46" i="39"/>
  <c r="K45" i="39"/>
  <c r="K44" i="39"/>
  <c r="K43" i="39"/>
  <c r="K42" i="39"/>
  <c r="K41" i="39"/>
  <c r="K40" i="39"/>
  <c r="S21" i="39"/>
  <c r="I18" i="43" l="1"/>
  <c r="I21" i="43"/>
  <c r="S38" i="39"/>
  <c r="U38" i="39"/>
  <c r="L29" i="31" s="1"/>
  <c r="T38" i="39"/>
  <c r="F22" i="41"/>
  <c r="F63" i="20" s="1"/>
  <c r="H16" i="41"/>
  <c r="G14" i="41"/>
  <c r="G55" i="20" s="1"/>
  <c r="F67" i="31"/>
  <c r="J29" i="30"/>
  <c r="J29" i="43"/>
  <c r="L29" i="30"/>
  <c r="L29" i="43"/>
  <c r="K29" i="30"/>
  <c r="K29" i="43"/>
  <c r="R38" i="40"/>
  <c r="E63" i="30"/>
  <c r="H67" i="30"/>
  <c r="F29" i="30"/>
  <c r="F29" i="43"/>
  <c r="J29" i="31"/>
  <c r="J29" i="42"/>
  <c r="K29" i="31"/>
  <c r="K29" i="42"/>
  <c r="E29" i="31"/>
  <c r="E29" i="42"/>
  <c r="G29" i="31"/>
  <c r="G29" i="42"/>
  <c r="R39" i="39"/>
  <c r="R38" i="39"/>
  <c r="H20" i="41"/>
  <c r="H61" i="20" s="1"/>
  <c r="F14" i="41"/>
  <c r="F55" i="20" s="1"/>
  <c r="F62" i="31"/>
  <c r="G67" i="31"/>
  <c r="H73" i="31"/>
  <c r="F29" i="31"/>
  <c r="F29" i="42"/>
  <c r="H29" i="31"/>
  <c r="H29" i="42"/>
  <c r="I28" i="43"/>
  <c r="I24" i="43"/>
  <c r="E68" i="30"/>
  <c r="E9" i="41"/>
  <c r="E50" i="20" s="1"/>
  <c r="E73" i="30"/>
  <c r="E12" i="41"/>
  <c r="E53" i="20" s="1"/>
  <c r="E23" i="41"/>
  <c r="E64" i="20" s="1"/>
  <c r="E19" i="41"/>
  <c r="E24" i="44" s="1"/>
  <c r="E13" i="41"/>
  <c r="E54" i="20" s="1"/>
  <c r="E16" i="41"/>
  <c r="E21" i="44" s="1"/>
  <c r="I26" i="43"/>
  <c r="E17" i="41"/>
  <c r="E22" i="44" s="1"/>
  <c r="I16" i="43"/>
  <c r="I27" i="43"/>
  <c r="I23" i="43"/>
  <c r="E70" i="30"/>
  <c r="I19" i="43"/>
  <c r="E10" i="41"/>
  <c r="E51" i="20" s="1"/>
  <c r="H22" i="41"/>
  <c r="H63" i="20" s="1"/>
  <c r="H18" i="41"/>
  <c r="H23" i="44" s="1"/>
  <c r="H12" i="41"/>
  <c r="H53" i="20" s="1"/>
  <c r="F11" i="41"/>
  <c r="F16" i="44" s="1"/>
  <c r="H71" i="31"/>
  <c r="F69" i="31"/>
  <c r="F64" i="31"/>
  <c r="H65" i="31"/>
  <c r="E20" i="44"/>
  <c r="E56" i="20"/>
  <c r="E18" i="44"/>
  <c r="G25" i="44"/>
  <c r="G61" i="20"/>
  <c r="G21" i="44"/>
  <c r="G57" i="20"/>
  <c r="G15" i="44"/>
  <c r="G51" i="20"/>
  <c r="H21" i="44"/>
  <c r="H57" i="20"/>
  <c r="H15" i="44"/>
  <c r="H51" i="20"/>
  <c r="H13" i="44"/>
  <c r="H49" i="20"/>
  <c r="F26" i="44"/>
  <c r="F62" i="20"/>
  <c r="F22" i="44"/>
  <c r="F58" i="20"/>
  <c r="H28" i="44"/>
  <c r="H64" i="20"/>
  <c r="H24" i="44"/>
  <c r="H60" i="20"/>
  <c r="H20" i="44"/>
  <c r="H56" i="20"/>
  <c r="H18" i="44"/>
  <c r="H54" i="20"/>
  <c r="H14" i="44"/>
  <c r="H50" i="20"/>
  <c r="F18" i="41"/>
  <c r="F17" i="44"/>
  <c r="F53" i="20"/>
  <c r="F15" i="44"/>
  <c r="F51" i="20"/>
  <c r="G27" i="44"/>
  <c r="G63" i="20"/>
  <c r="G23" i="44"/>
  <c r="G59" i="20"/>
  <c r="G17" i="44"/>
  <c r="G53" i="20"/>
  <c r="E25" i="44"/>
  <c r="E61" i="20"/>
  <c r="G28" i="44"/>
  <c r="G64" i="20"/>
  <c r="G26" i="44"/>
  <c r="G62" i="20"/>
  <c r="G24" i="44"/>
  <c r="G60" i="20"/>
  <c r="G22" i="44"/>
  <c r="G58" i="20"/>
  <c r="G20" i="44"/>
  <c r="G56" i="20"/>
  <c r="G18" i="44"/>
  <c r="G54" i="20"/>
  <c r="G16" i="44"/>
  <c r="G52" i="20"/>
  <c r="G14" i="44"/>
  <c r="G50" i="20"/>
  <c r="F28" i="44"/>
  <c r="F64" i="20"/>
  <c r="F24" i="44"/>
  <c r="F60" i="20"/>
  <c r="F20" i="44"/>
  <c r="F56" i="20"/>
  <c r="F18" i="44"/>
  <c r="F54" i="20"/>
  <c r="F9" i="41"/>
  <c r="H26" i="44"/>
  <c r="H62" i="20"/>
  <c r="H22" i="44"/>
  <c r="H58" i="20"/>
  <c r="H16" i="44"/>
  <c r="H52" i="20"/>
  <c r="E21" i="41"/>
  <c r="E14" i="41"/>
  <c r="E11" i="41"/>
  <c r="E22" i="41"/>
  <c r="E18" i="41"/>
  <c r="H14" i="41"/>
  <c r="E30" i="42"/>
  <c r="E30" i="31"/>
  <c r="H31" i="31"/>
  <c r="H31" i="42"/>
  <c r="F20" i="41"/>
  <c r="F16" i="41"/>
  <c r="F8" i="41"/>
  <c r="H30" i="42"/>
  <c r="H30" i="31"/>
  <c r="G30" i="31"/>
  <c r="G30" i="42"/>
  <c r="F30" i="31"/>
  <c r="F30" i="42"/>
  <c r="F31" i="31"/>
  <c r="F31" i="42"/>
  <c r="E60" i="31"/>
  <c r="I12" i="42"/>
  <c r="E32" i="31"/>
  <c r="E32" i="42"/>
  <c r="H32" i="31"/>
  <c r="H32" i="42"/>
  <c r="G31" i="31"/>
  <c r="G31" i="42"/>
  <c r="F60" i="31"/>
  <c r="J12" i="42"/>
  <c r="S39" i="39"/>
  <c r="F32" i="31"/>
  <c r="F32" i="42"/>
  <c r="E31" i="42"/>
  <c r="E31" i="31"/>
  <c r="H60" i="31"/>
  <c r="L12" i="42"/>
  <c r="U39" i="39"/>
  <c r="G60" i="31"/>
  <c r="K12" i="42"/>
  <c r="T39" i="39"/>
  <c r="G32" i="42"/>
  <c r="G32" i="31"/>
  <c r="E32" i="30"/>
  <c r="E32" i="43"/>
  <c r="F31" i="30"/>
  <c r="F31" i="43"/>
  <c r="G60" i="30"/>
  <c r="K12" i="43"/>
  <c r="T39" i="40"/>
  <c r="G7" i="41"/>
  <c r="G32" i="30"/>
  <c r="G32" i="43"/>
  <c r="H31" i="30"/>
  <c r="H31" i="43"/>
  <c r="E61" i="30"/>
  <c r="I13" i="43"/>
  <c r="E8" i="41"/>
  <c r="E60" i="30"/>
  <c r="I12" i="43"/>
  <c r="R39" i="40"/>
  <c r="E7" i="41"/>
  <c r="G13" i="44"/>
  <c r="F30" i="43"/>
  <c r="F30" i="30"/>
  <c r="E31" i="30"/>
  <c r="E31" i="43"/>
  <c r="F60" i="30"/>
  <c r="J12" i="43"/>
  <c r="S39" i="40"/>
  <c r="F7" i="41"/>
  <c r="F32" i="30"/>
  <c r="F32" i="43"/>
  <c r="G31" i="43"/>
  <c r="G31" i="30"/>
  <c r="H60" i="30"/>
  <c r="L12" i="43"/>
  <c r="U39" i="40"/>
  <c r="H7" i="41"/>
  <c r="H32" i="30"/>
  <c r="H32" i="43"/>
  <c r="E30" i="30"/>
  <c r="E30" i="43"/>
  <c r="G30" i="30"/>
  <c r="G30" i="43"/>
  <c r="H30" i="30"/>
  <c r="H30" i="43"/>
  <c r="S47" i="40"/>
  <c r="S46" i="40"/>
  <c r="S45" i="40"/>
  <c r="S44" i="40"/>
  <c r="S43" i="40"/>
  <c r="S42" i="40"/>
  <c r="S41" i="40"/>
  <c r="S40" i="40"/>
  <c r="U47" i="40"/>
  <c r="U46" i="40"/>
  <c r="U45" i="40"/>
  <c r="U44" i="40"/>
  <c r="U43" i="40"/>
  <c r="U42" i="40"/>
  <c r="U41" i="40"/>
  <c r="U40" i="40"/>
  <c r="R47" i="40"/>
  <c r="R46" i="40"/>
  <c r="R45" i="40"/>
  <c r="R44" i="40"/>
  <c r="R43" i="40"/>
  <c r="R42" i="40"/>
  <c r="R41" i="40"/>
  <c r="R40" i="40"/>
  <c r="T47" i="40"/>
  <c r="T46" i="40"/>
  <c r="T45" i="40"/>
  <c r="T44" i="40"/>
  <c r="T43" i="40"/>
  <c r="T42" i="40"/>
  <c r="T41" i="40"/>
  <c r="T40" i="40"/>
  <c r="R47" i="39"/>
  <c r="R46" i="39"/>
  <c r="R45" i="39"/>
  <c r="R44" i="39"/>
  <c r="R43" i="39"/>
  <c r="R42" i="39"/>
  <c r="R41" i="39"/>
  <c r="R40" i="39"/>
  <c r="T47" i="39"/>
  <c r="T46" i="39"/>
  <c r="T45" i="39"/>
  <c r="T44" i="39"/>
  <c r="T43" i="39"/>
  <c r="T42" i="39"/>
  <c r="T41" i="39"/>
  <c r="T40" i="39"/>
  <c r="S47" i="39"/>
  <c r="S46" i="39"/>
  <c r="S45" i="39"/>
  <c r="S44" i="39"/>
  <c r="S43" i="39"/>
  <c r="S42" i="39"/>
  <c r="S41" i="39"/>
  <c r="S40" i="39"/>
  <c r="U47" i="39"/>
  <c r="U46" i="39"/>
  <c r="U45" i="39"/>
  <c r="U44" i="39"/>
  <c r="U43" i="39"/>
  <c r="U42" i="39"/>
  <c r="U41" i="39"/>
  <c r="U40" i="39"/>
  <c r="G25" i="41" l="1"/>
  <c r="G24" i="41"/>
  <c r="G36" i="20" s="1"/>
  <c r="F19" i="44"/>
  <c r="G19" i="44"/>
  <c r="E14" i="44"/>
  <c r="F27" i="44"/>
  <c r="L29" i="42"/>
  <c r="H25" i="44"/>
  <c r="E17" i="44"/>
  <c r="I29" i="30"/>
  <c r="I29" i="43"/>
  <c r="H24" i="41"/>
  <c r="H36" i="20" s="1"/>
  <c r="F24" i="41"/>
  <c r="F29" i="44" s="1"/>
  <c r="E24" i="41"/>
  <c r="E36" i="20" s="1"/>
  <c r="I29" i="31"/>
  <c r="I29" i="42"/>
  <c r="H48" i="20"/>
  <c r="F48" i="20"/>
  <c r="E48" i="20"/>
  <c r="E28" i="44"/>
  <c r="H27" i="44"/>
  <c r="H17" i="44"/>
  <c r="E57" i="20"/>
  <c r="E58" i="20"/>
  <c r="E60" i="20"/>
  <c r="E15" i="44"/>
  <c r="F52" i="20"/>
  <c r="H59" i="20"/>
  <c r="E13" i="44"/>
  <c r="E49" i="20"/>
  <c r="F21" i="44"/>
  <c r="F57" i="20"/>
  <c r="H19" i="44"/>
  <c r="H55" i="20"/>
  <c r="E27" i="44"/>
  <c r="E63" i="20"/>
  <c r="E19" i="44"/>
  <c r="E55" i="20"/>
  <c r="F14" i="44"/>
  <c r="F50" i="20"/>
  <c r="G30" i="44"/>
  <c r="G37" i="20"/>
  <c r="G12" i="44"/>
  <c r="G48" i="20"/>
  <c r="F13" i="44"/>
  <c r="F49" i="20"/>
  <c r="F25" i="44"/>
  <c r="F61" i="20"/>
  <c r="E23" i="44"/>
  <c r="E59" i="20"/>
  <c r="E16" i="44"/>
  <c r="E52" i="20"/>
  <c r="E26" i="44"/>
  <c r="E62" i="20"/>
  <c r="F23" i="44"/>
  <c r="F59" i="20"/>
  <c r="L32" i="31"/>
  <c r="L32" i="42"/>
  <c r="J32" i="31"/>
  <c r="J32" i="42"/>
  <c r="K32" i="31"/>
  <c r="K32" i="42"/>
  <c r="I32" i="31"/>
  <c r="I32" i="42"/>
  <c r="K30" i="42"/>
  <c r="K30" i="31"/>
  <c r="J30" i="31"/>
  <c r="J30" i="42"/>
  <c r="L31" i="31"/>
  <c r="L31" i="42"/>
  <c r="J31" i="31"/>
  <c r="J31" i="42"/>
  <c r="K31" i="31"/>
  <c r="K31" i="42"/>
  <c r="I31" i="42"/>
  <c r="I31" i="31"/>
  <c r="L30" i="31"/>
  <c r="L30" i="42"/>
  <c r="I30" i="31"/>
  <c r="I30" i="42"/>
  <c r="K31" i="30"/>
  <c r="K31" i="43"/>
  <c r="I31" i="30"/>
  <c r="I31" i="43"/>
  <c r="L31" i="30"/>
  <c r="L31" i="43"/>
  <c r="J31" i="30"/>
  <c r="J31" i="43"/>
  <c r="H12" i="44"/>
  <c r="H25" i="41"/>
  <c r="F12" i="44"/>
  <c r="F25" i="41"/>
  <c r="E25" i="41"/>
  <c r="E12" i="44"/>
  <c r="K30" i="30"/>
  <c r="K30" i="43"/>
  <c r="K32" i="30"/>
  <c r="K32" i="43"/>
  <c r="I32" i="43"/>
  <c r="I32" i="30"/>
  <c r="L32" i="30"/>
  <c r="L32" i="43"/>
  <c r="J32" i="30"/>
  <c r="J32" i="43"/>
  <c r="L30" i="30"/>
  <c r="L30" i="43"/>
  <c r="J30" i="43"/>
  <c r="J30" i="30"/>
  <c r="I30" i="30"/>
  <c r="I30" i="43"/>
  <c r="F30" i="41"/>
  <c r="G26" i="41"/>
  <c r="F26" i="41"/>
  <c r="G33" i="41"/>
  <c r="H33" i="41"/>
  <c r="E33" i="41"/>
  <c r="F33" i="41"/>
  <c r="H26" i="41"/>
  <c r="E26" i="41"/>
  <c r="H30" i="41"/>
  <c r="G30" i="41"/>
  <c r="E30" i="41"/>
  <c r="F28" i="41"/>
  <c r="F32" i="41"/>
  <c r="H28" i="41"/>
  <c r="H32" i="41"/>
  <c r="G28" i="41"/>
  <c r="G32" i="41"/>
  <c r="E28" i="41"/>
  <c r="E32" i="41"/>
  <c r="F27" i="41"/>
  <c r="F29" i="41"/>
  <c r="F31" i="41"/>
  <c r="H27" i="41"/>
  <c r="H29" i="41"/>
  <c r="H31" i="41"/>
  <c r="G27" i="41"/>
  <c r="G29" i="41"/>
  <c r="G31" i="41"/>
  <c r="E27" i="41"/>
  <c r="E29" i="41"/>
  <c r="E31" i="41"/>
  <c r="G29" i="44" l="1"/>
  <c r="E29" i="44"/>
  <c r="H29" i="44"/>
  <c r="F36" i="20"/>
  <c r="E32" i="44"/>
  <c r="E39" i="20"/>
  <c r="H32" i="44"/>
  <c r="H39" i="20"/>
  <c r="H31" i="44"/>
  <c r="H38" i="20"/>
  <c r="G31" i="44"/>
  <c r="G38" i="20"/>
  <c r="F30" i="44"/>
  <c r="F37" i="20"/>
  <c r="H30" i="44"/>
  <c r="H37" i="20"/>
  <c r="G32" i="44"/>
  <c r="G39" i="20"/>
  <c r="F32" i="44"/>
  <c r="F39" i="20"/>
  <c r="E31" i="44"/>
  <c r="E38" i="20"/>
  <c r="F31" i="44"/>
  <c r="F38" i="20"/>
  <c r="E30" i="44"/>
  <c r="E37" i="20"/>
</calcChain>
</file>

<file path=xl/sharedStrings.xml><?xml version="1.0" encoding="utf-8"?>
<sst xmlns="http://schemas.openxmlformats.org/spreadsheetml/2006/main" count="822" uniqueCount="196">
  <si>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</si>
  <si>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</si>
  <si>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</si>
  <si>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</si>
  <si>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</si>
  <si>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</si>
  <si>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</si>
  <si>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</si>
  <si>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</si>
  <si>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</si>
  <si>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</si>
  <si>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</si>
  <si>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</si>
  <si>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</si>
  <si>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</si>
  <si>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</si>
  <si>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</si>
  <si>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</si>
  <si>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</si>
  <si>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</si>
  <si>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</si>
  <si>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</si>
  <si>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</si>
  <si>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</si>
  <si>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</si>
  <si>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</si>
  <si>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</si>
  <si>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</si>
  <si>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</si>
  <si>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</si>
  <si>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</si>
  <si>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</si>
  <si>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</si>
  <si>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</si>
  <si>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</si>
  <si>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</si>
  <si>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</si>
  <si>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</si>
  <si>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</si>
  <si>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</si>
  <si>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</si>
  <si>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</si>
  <si>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</si>
  <si>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</si>
  <si>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</si>
  <si>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</si>
  <si>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</si>
  <si>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</si>
  <si>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</si>
  <si>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</si>
  <si>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</si>
  <si>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</si>
  <si>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</si>
  <si>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</si>
  <si>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</si>
  <si>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</si>
  <si>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</si>
  <si>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</si>
  <si>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</si>
  <si>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</si>
  <si>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</si>
  <si>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</si>
  <si>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</si>
  <si>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</si>
  <si>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</si>
  <si>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</si>
  <si>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</si>
  <si>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</si>
  <si>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</si>
  <si>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</si>
  <si>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</si>
  <si>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</si>
  <si>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</si>
  <si>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</si>
  <si>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</si>
  <si>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</si>
  <si>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</si>
  <si>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</si>
  <si>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</si>
  <si>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</si>
  <si>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</si>
  <si>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</si>
  <si>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</si>
  <si>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</si>
  <si>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</si>
  <si>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</si>
  <si>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</si>
  <si>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</si>
  <si>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</si>
  <si>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</si>
  <si>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</si>
  <si>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</si>
  <si>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</si>
  <si>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</si>
  <si>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</si>
  <si>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</si>
  <si>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</si>
  <si>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</si>
  <si>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</si>
  <si>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</si>
  <si>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</si>
  <si>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</si>
  <si>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</si>
  <si>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</si>
  <si>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</si>
  <si>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</si>
  <si>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</si>
  <si>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</si>
  <si>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</si>
  <si>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</si>
  <si>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</si>
  <si>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Σ PEC:PNEC SW inside marina 
</t>
  </si>
  <si>
    <t>Σ PEC:PNEC
SW
surrounding marina</t>
  </si>
  <si>
    <t>Σ PEC:PNEC
Sed
surrounding marina</t>
  </si>
  <si>
    <t xml:space="preserve">Σ PEC:PNEC
SW
inside marina
</t>
  </si>
  <si>
    <t xml:space="preserve">Σ PEC:PNEC
Sed
inside marina
</t>
  </si>
  <si>
    <t xml:space="preserve">PNECsw Inside Marina (µg/l)
</t>
  </si>
  <si>
    <t xml:space="preserve">PNECsed Inside Marina (µg/g dw)
</t>
  </si>
  <si>
    <t xml:space="preserve">PNECsw Surrounding Marina (µg/l)
</t>
  </si>
  <si>
    <t xml:space="preserve">PNECsed Surrounding Marina (µg/g dw)
</t>
  </si>
  <si>
    <t xml:space="preserve">PECsed inside marina
susp. 
(average, ug/g dw)
</t>
  </si>
  <si>
    <t xml:space="preserve">PECsed surrounding marina
susp. 
(average, ug/g dw)
</t>
  </si>
  <si>
    <t xml:space="preserve">PEC:PNEC 
SW 
inside marina 
</t>
  </si>
  <si>
    <t xml:space="preserve">PEC:PNEC
Sed 
inside marina 
</t>
  </si>
  <si>
    <t xml:space="preserve">PEC:PNEC
SW surrounding marina 
</t>
  </si>
  <si>
    <t xml:space="preserve">PEC:PNEC
Sed surrounding marina 
</t>
  </si>
  <si>
    <t xml:space="preserve">PEC:PNEC Susp. inside marina 
</t>
  </si>
  <si>
    <t xml:space="preserve">PEC:PNEC SW surrounding marina 
</t>
  </si>
  <si>
    <t xml:space="preserve">PEC:PNEC Susp. surrounding marina
</t>
  </si>
  <si>
    <t xml:space="preserve">Σ PEC:PNEC Susp.
inside marina 
</t>
  </si>
  <si>
    <t xml:space="preserve">Σ PEC:PNEC Susp.
surrounding marina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</si>
  <si>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</si>
  <si>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</si>
  <si>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</si>
  <si>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</si>
  <si>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
Σ PEC:PNEC SW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</si>
  <si>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</si>
  <si>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</si>
  <si>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</si>
  <si>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</si>
  <si>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</si>
  <si>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</si>
  <si>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</si>
  <si>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Zineb</t>
  </si>
  <si>
    <t>DIDT</t>
  </si>
  <si>
    <t>Zineb and DIDT</t>
  </si>
  <si>
    <t>Metabolite</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</si>
  <si>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</si>
  <si>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</si>
  <si>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</si>
  <si>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</si>
  <si>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</si>
  <si>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</si>
  <si>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</si>
  <si>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Do not alter; enter this parameter only in tab Z_User_Input</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</si>
  <si>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</si>
  <si>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</si>
  <si>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</si>
  <si>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</si>
  <si>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Mean</t>
  </si>
  <si>
    <t>Median</t>
  </si>
  <si>
    <t>Median+K38:V38</t>
  </si>
  <si>
    <t>Version Final 1.0</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</si>
  <si>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</si>
  <si>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</si>
  <si>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</si>
  <si>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</si>
  <si>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zineb and DIDT v1.1 [XLSX] downloaded form ECHA website; removed EU freshwater region and associated parameters; PEC calculation adapted to the DE dataset (WSA correction)</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</si>
  <si>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</si>
  <si>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</si>
  <si>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</si>
  <si>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r>
      <t>WSA</t>
    </r>
    <r>
      <rPr>
        <vertAlign val="subscript"/>
        <sz val="10"/>
        <color rgb="FF0070C0"/>
        <rFont val="Verdana"/>
        <family val="2"/>
      </rPr>
      <t>aggregated</t>
    </r>
  </si>
  <si>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</si>
  <si>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</si>
  <si>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</si>
  <si>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</si>
  <si>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</si>
  <si>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</si>
  <si>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</si>
  <si>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</si>
  <si>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</si>
  <si>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</si>
  <si>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</si>
  <si>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</si>
  <si>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</si>
  <si>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</si>
  <si>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</si>
  <si>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</si>
  <si>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</si>
  <si>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German scenario for inland water marinas | Risk Characterisation</t>
  </si>
  <si>
    <t>German scenario for inland water marinas | Average PEC  values and Risk Characterisation</t>
  </si>
  <si>
    <t>Inland water marina 18</t>
  </si>
  <si>
    <t>Inland water marina 19</t>
  </si>
  <si>
    <t>Inland water Scenario</t>
  </si>
  <si>
    <r>
      <t xml:space="preserve">Median </t>
    </r>
    <r>
      <rPr>
        <i/>
        <sz val="10"/>
        <color theme="1"/>
        <rFont val="Verdana"/>
        <family val="2"/>
      </rPr>
      <t>(Endpoint for risk assessment)</t>
    </r>
  </si>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</sst>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1"/>
      <color rgb="FF000000"/>
      <name val="Verdana"/>
      <family val="2"/>
    </font>
    <font>
      <i/>
      <sz val="10"/>
      <name val="Verdana"/>
      <family val="2"/>
    </font>
    <font>
      <vertAlign val="subscript"/>
      <sz val="10"/>
      <color rgb="FF0070C0"/>
      <name val="Verdana"/>
      <family val="2"/>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lightTrellis">
        <fgColor rgb="FFFFFFFF"/>
        <bgColor rgb="FFFFC000"/>
      </patternFill>
    </fill>
  </fills>
  <borders count="22">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0">
    <xf numFmtId="0" fontId="0" fillId="5" borderId="0"/>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3" fillId="6" borderId="0">
      <alignment horizontal="center"/>
    </xf>
    <xf numFmtId="0" fontId="14" fillId="7" borderId="0">
      <alignment horizontal="center" vertical="center" wrapText="1"/>
    </xf>
    <xf numFmtId="0" fontId="26" fillId="7" borderId="0">
      <alignment horizontal="center" vertical="center" wrapText="1"/>
    </xf>
    <xf numFmtId="0" fontId="15" fillId="10" borderId="0">
      <alignment horizontal="center" vertical="center"/>
    </xf>
    <xf numFmtId="0" fontId="5" fillId="8" borderId="6">
      <alignment horizontal="left" vertical="center"/>
    </xf>
    <xf numFmtId="2" fontId="5" fillId="9" borderId="18">
      <alignment horizontal="center" vertical="center"/>
    </xf>
    <xf numFmtId="0" fontId="14" fillId="11" borderId="0">
      <alignment horizontal="center" vertical="center"/>
    </xf>
    <xf numFmtId="0" fontId="14" fillId="12" borderId="0">
      <alignment horizontal="center" vertical="center" wrapText="1"/>
    </xf>
    <xf numFmtId="0" fontId="1" fillId="0" borderId="0"/>
    <xf numFmtId="0" fontId="23" fillId="0" borderId="1" applyNumberFormat="0" applyFill="0" applyAlignment="0" applyProtection="0"/>
    <xf numFmtId="0" fontId="15" fillId="13" borderId="0" applyAlignment="0"/>
    <xf numFmtId="0" fontId="24" fillId="14" borderId="0">
      <alignment horizontal="center" vertical="center" wrapText="1"/>
    </xf>
    <xf numFmtId="0" fontId="27" fillId="16" borderId="0" applyNumberFormat="0" applyBorder="0" applyProtection="0">
      <alignment vertical="center"/>
    </xf>
  </cellStyleXfs>
  <cellXfs count="161">
    <xf numFmtId="0" fontId="0" fillId="5" borderId="0" xfId="0"/>
    <xf numFmtId="0" fontId="0" fillId="5" borderId="0" xfId="0" applyFill="1"/>
    <xf numFmtId="0" fontId="0" fillId="5" borderId="0" xfId="0" applyFill="1" applyAlignment="1">
      <alignment vertical="center"/>
    </xf>
    <xf numFmtId="0" fontId="3" fillId="5" borderId="0" xfId="0" applyFont="1" applyFill="1"/>
    <xf numFmtId="0" fontId="0" fillId="5" borderId="0" xfId="0" applyFont="1" applyFill="1"/>
    <xf numFmtId="0" fontId="4" fillId="5" borderId="0" xfId="0" applyFont="1" applyFill="1"/>
    <xf numFmtId="0" fontId="2" fillId="5" borderId="2" xfId="2" applyFill="1"/>
    <xf numFmtId="0" fontId="26" fillId="7" borderId="0" xfId="19">
      <alignment horizontal="center" vertical="center" wrapText="1"/>
    </xf>
    <xf numFmtId="0" fontId="26" fillId="7" borderId="0" xfId="19" applyBorder="1">
      <alignment horizontal="center" vertical="center" wrapText="1"/>
    </xf>
    <xf numFmtId="0" fontId="26" fillId="7" borderId="8" xfId="19" applyBorder="1">
      <alignment horizontal="center" vertical="center" wrapText="1"/>
    </xf>
    <xf numFmtId="0" fontId="0" fillId="5" borderId="0" xfId="0" applyFill="1" applyBorder="1"/>
    <xf numFmtId="0" fontId="0" fillId="5" borderId="8" xfId="0" applyFill="1" applyBorder="1"/>
    <xf numFmtId="0" fontId="15" fillId="10" borderId="0" xfId="20">
      <alignment horizontal="center" vertical="center"/>
    </xf>
    <xf numFmtId="0" fontId="0" fillId="7" borderId="0" xfId="0" applyFill="1" applyBorder="1" applyAlignment="1" applyProtection="1">
      <alignment vertical="center"/>
      <protection locked="0"/>
    </xf>
    <xf numFmtId="0" fontId="0" fillId="5" borderId="0" xfId="0" applyFill="1" applyAlignment="1">
      <alignment wrapText="1"/>
    </xf>
    <xf numFmtId="0" fontId="18" fillId="5" borderId="0" xfId="0" applyFont="1" applyFill="1"/>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xf numFmtId="0" fontId="18" fillId="5" borderId="0" xfId="0" applyFont="1" applyFill="1" applyBorder="1" applyAlignment="1">
      <alignment horizontal="center"/>
    </xf>
    <xf numFmtId="0" fontId="18" fillId="5" borderId="0" xfId="0" applyFont="1" applyFill="1" applyBorder="1" applyAlignment="1">
      <alignment horizontal="center" vertical="center"/>
    </xf>
    <xf numFmtId="0" fontId="21"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1"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xf numFmtId="0" fontId="9" fillId="5" borderId="1" xfId="1" applyFill="1"/>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6" fillId="6" borderId="12" xfId="0" applyFont="1" applyFill="1" applyBorder="1" applyAlignment="1" applyProtection="1">
      <alignment vertical="center"/>
      <protection locked="0"/>
    </xf>
    <xf numFmtId="0" fontId="16" fillId="6" borderId="13" xfId="0" applyFont="1" applyFill="1" applyBorder="1" applyAlignment="1" applyProtection="1">
      <alignment vertical="center"/>
      <protection locked="0"/>
    </xf>
    <xf numFmtId="0" fontId="16"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2" fillId="5" borderId="0" xfId="0" applyFont="1" applyFill="1"/>
    <xf numFmtId="0" fontId="9" fillId="5" borderId="1" xfId="12" applyFill="1" applyAlignment="1">
      <alignment horizontal="left"/>
    </xf>
    <xf numFmtId="0" fontId="2" fillId="5" borderId="2" xfId="2" applyFill="1" applyAlignment="1">
      <alignment horizontal="left"/>
    </xf>
    <xf numFmtId="0" fontId="26" fillId="5" borderId="0" xfId="19" applyFill="1" applyAlignment="1">
      <alignment horizontal="left" vertical="center" wrapText="1"/>
    </xf>
    <xf numFmtId="0" fontId="5" fillId="0" borderId="0" xfId="8"/>
    <xf numFmtId="0" fontId="11" fillId="5" borderId="0" xfId="16" applyFill="1"/>
    <xf numFmtId="0" fontId="14" fillId="11" borderId="0" xfId="23">
      <alignment horizontal="center" vertical="center"/>
    </xf>
    <xf numFmtId="0" fontId="24" fillId="14" borderId="0" xfId="28">
      <alignment horizontal="center" vertical="center" wrapText="1"/>
    </xf>
    <xf numFmtId="0" fontId="0" fillId="11" borderId="0" xfId="23" applyFont="1">
      <alignment horizontal="center" vertical="center"/>
    </xf>
    <xf numFmtId="0" fontId="25" fillId="5" borderId="0" xfId="0" applyFont="1" applyAlignment="1"/>
    <xf numFmtId="0" fontId="22" fillId="5" borderId="0" xfId="0" applyFont="1"/>
    <xf numFmtId="0" fontId="25" fillId="5" borderId="0" xfId="0" applyFont="1"/>
    <xf numFmtId="0" fontId="0" fillId="5" borderId="6" xfId="0" applyBorder="1"/>
    <xf numFmtId="0" fontId="25" fillId="5" borderId="0" xfId="0" applyFont="1" applyAlignment="1">
      <alignment horizontal="center"/>
    </xf>
    <xf numFmtId="0" fontId="0" fillId="5" borderId="0" xfId="0"/>
    <xf numFmtId="0" fontId="0" fillId="15" borderId="0" xfId="0" applyFill="1"/>
    <xf numFmtId="0" fontId="25" fillId="15" borderId="0" xfId="0" applyFont="1" applyFill="1"/>
    <xf numFmtId="0" fontId="25" fillId="5" borderId="0" xfId="0" applyFont="1" applyFill="1" applyAlignment="1"/>
    <xf numFmtId="0" fontId="15" fillId="5" borderId="0" xfId="20" applyFill="1" applyBorder="1">
      <alignment horizontal="center" vertical="center"/>
    </xf>
    <xf numFmtId="0" fontId="15" fillId="5" borderId="0" xfId="20" applyFill="1" applyBorder="1" applyAlignment="1">
      <alignment horizontal="right"/>
    </xf>
    <xf numFmtId="0" fontId="15" fillId="5" borderId="0" xfId="20" applyFill="1" applyBorder="1" applyAlignment="1">
      <alignment horizontal="center"/>
    </xf>
    <xf numFmtId="0" fontId="0" fillId="5" borderId="0" xfId="0" applyBorder="1"/>
    <xf numFmtId="0" fontId="0" fillId="5" borderId="0" xfId="0" applyFont="1" applyBorder="1"/>
    <xf numFmtId="0" fontId="0" fillId="5" borderId="0" xfId="0" applyBorder="1" applyAlignment="1">
      <alignment wrapText="1"/>
    </xf>
    <xf numFmtId="11" fontId="14" fillId="12" borderId="0" xfId="24" applyNumberFormat="1">
      <alignment horizontal="center" vertical="center" wrapText="1"/>
    </xf>
    <xf numFmtId="11" fontId="15" fillId="10" borderId="0" xfId="20" applyNumberFormat="1" applyAlignment="1">
      <alignment horizontal="center" vertical="center"/>
    </xf>
    <xf numFmtId="11" fontId="14" fillId="7" borderId="0" xfId="18" applyNumberFormat="1" applyBorder="1">
      <alignment horizontal="center" vertical="center" wrapText="1"/>
    </xf>
    <xf numFmtId="11" fontId="15" fillId="10" borderId="0" xfId="20" applyNumberFormat="1" applyBorder="1" applyAlignment="1">
      <alignment horizontal="center"/>
    </xf>
    <xf numFmtId="0" fontId="0" fillId="15" borderId="0" xfId="0" applyFill="1" applyBorder="1"/>
    <xf numFmtId="0" fontId="0" fillId="15" borderId="0" xfId="0" applyFill="1" applyBorder="1" applyAlignment="1">
      <alignment wrapText="1"/>
    </xf>
    <xf numFmtId="0" fontId="22" fillId="5" borderId="0" xfId="0" applyFont="1" applyAlignment="1"/>
    <xf numFmtId="14" fontId="0" fillId="5" borderId="0" xfId="0" applyNumberFormat="1"/>
    <xf numFmtId="0" fontId="0" fillId="5" borderId="0" xfId="0"/>
    <xf numFmtId="0" fontId="26"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4" fillId="7" borderId="0" xfId="18" applyAlignment="1">
      <alignment horizontal="left" vertical="center" wrapText="1"/>
    </xf>
    <xf numFmtId="11" fontId="14" fillId="11" borderId="0" xfId="23" applyNumberFormat="1" applyFont="1">
      <alignment horizontal="center" vertical="center"/>
    </xf>
    <xf numFmtId="0" fontId="26" fillId="7" borderId="0" xfId="19" applyBorder="1" applyAlignment="1">
      <alignment horizontal="left" vertical="center" wrapText="1"/>
    </xf>
    <xf numFmtId="0" fontId="14" fillId="7" borderId="0" xfId="18" applyBorder="1" applyAlignment="1">
      <alignment horizontal="left" vertical="center" wrapText="1"/>
    </xf>
    <xf numFmtId="0" fontId="26" fillId="7" borderId="0" xfId="19" applyAlignment="1">
      <alignment horizontal="center" vertical="center" wrapText="1"/>
    </xf>
    <xf numFmtId="0" fontId="0" fillId="5" borderId="0" xfId="0" applyBorder="1" applyAlignment="1">
      <alignment horizontal="left"/>
    </xf>
    <xf numFmtId="11" fontId="0" fillId="5" borderId="0" xfId="0" applyNumberFormat="1" applyBorder="1"/>
    <xf numFmtId="0" fontId="9" fillId="5" borderId="1" xfId="12" applyFill="1" applyAlignment="1">
      <alignment horizontal="left"/>
    </xf>
    <xf numFmtId="0" fontId="22" fillId="5" borderId="0" xfId="0" applyFont="1" applyAlignment="1">
      <alignment horizontal="left"/>
    </xf>
    <xf numFmtId="0" fontId="0" fillId="5" borderId="0" xfId="0" applyAlignment="1"/>
    <xf numFmtId="0" fontId="26" fillId="7" borderId="0" xfId="19" applyAlignment="1">
      <alignment horizontal="left" vertical="center" wrapText="1"/>
    </xf>
    <xf numFmtId="0" fontId="26" fillId="7" borderId="0" xfId="19" applyAlignment="1">
      <alignment horizontal="left" vertical="center"/>
    </xf>
    <xf numFmtId="0" fontId="2" fillId="5" borderId="2" xfId="2" applyFill="1" applyAlignment="1">
      <alignment horizontal="left"/>
    </xf>
    <xf numFmtId="0" fontId="14" fillId="7" borderId="0" xfId="18">
      <alignment horizontal="center" vertical="center" wrapText="1"/>
    </xf>
    <xf numFmtId="0" fontId="26" fillId="7" borderId="0" xfId="19" applyBorder="1" applyAlignment="1">
      <alignment vertical="center" wrapText="1"/>
    </xf>
    <xf numFmtId="0" fontId="14" fillId="7" borderId="0" xfId="18" applyAlignment="1">
      <alignment vertical="center" wrapText="1"/>
    </xf>
    <xf numFmtId="0" fontId="14" fillId="7" borderId="0" xfId="18" applyBorder="1" applyAlignment="1">
      <alignment horizontal="left" vertical="center"/>
    </xf>
    <xf numFmtId="0" fontId="15" fillId="10" borderId="0" xfId="20" applyAlignment="1">
      <alignment horizontal="right" vertical="center" wrapText="1"/>
    </xf>
    <xf numFmtId="0" fontId="15" fillId="10" borderId="0" xfId="20" applyAlignment="1">
      <alignment horizontal="left" vertical="center" wrapText="1"/>
    </xf>
    <xf numFmtId="11" fontId="15" fillId="10" borderId="0" xfId="20" applyNumberFormat="1">
      <alignment horizontal="center" vertical="center"/>
    </xf>
    <xf numFmtId="0" fontId="0" fillId="5" borderId="0" xfId="0" applyAlignment="1">
      <alignment horizontal="center"/>
    </xf>
    <xf numFmtId="0" fontId="0" fillId="5" borderId="0" xfId="0" applyFill="1" applyAlignment="1">
      <alignment horizontal="center"/>
    </xf>
    <xf numFmtId="0" fontId="15" fillId="5" borderId="0" xfId="20" applyFill="1" applyBorder="1" applyAlignment="1">
      <alignment horizontal="center" vertical="center"/>
    </xf>
    <xf numFmtId="0" fontId="0" fillId="5" borderId="0" xfId="0" applyFill="1" applyBorder="1" applyAlignment="1">
      <alignment horizont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22" fillId="5" borderId="0" xfId="0" applyFont="1" applyAlignment="1">
      <alignment horizontal="right"/>
    </xf>
    <xf numFmtId="0" fontId="0" fillId="5" borderId="6" xfId="0" applyBorder="1" applyAlignment="1">
      <alignment vertical="center"/>
    </xf>
    <xf numFmtId="0" fontId="0" fillId="5" borderId="9" xfId="0" applyFill="1" applyBorder="1" applyAlignment="1">
      <alignment vertical="center"/>
    </xf>
    <xf numFmtId="0" fontId="22" fillId="5" borderId="0" xfId="0" applyFont="1" applyFill="1" applyAlignment="1">
      <alignment vertical="center"/>
    </xf>
    <xf numFmtId="0" fontId="26" fillId="7" borderId="0" xfId="19" applyAlignment="1">
      <alignment horizontal="right" vertical="center"/>
    </xf>
    <xf numFmtId="0" fontId="26" fillId="7" borderId="0" xfId="19" applyAlignment="1">
      <alignment horizontal="center" vertical="center"/>
    </xf>
    <xf numFmtId="0" fontId="26" fillId="7" borderId="7" xfId="19" applyBorder="1" applyAlignment="1">
      <alignment horizontal="left" vertical="center" wrapText="1"/>
    </xf>
    <xf numFmtId="0" fontId="27" fillId="16" borderId="0" xfId="29" applyAlignment="1">
      <alignment horizontal="left"/>
    </xf>
    <xf numFmtId="0" fontId="0" fillId="5" borderId="0" xfId="0" applyAlignment="1">
      <alignment vertical="top"/>
    </xf>
    <xf numFmtId="0" fontId="9" fillId="5" borderId="1" xfId="12" applyFill="1"/>
    <xf numFmtId="0" fontId="14" fillId="11" borderId="0" xfId="23" applyAlignment="1">
      <alignment vertical="center"/>
    </xf>
    <xf numFmtId="0" fontId="11" fillId="5" borderId="0" xfId="16" applyFill="1" applyAlignment="1">
      <alignment vertical="center" wrapText="1"/>
    </xf>
    <xf numFmtId="0" fontId="27" fillId="16" borderId="0" xfId="29" applyAlignment="1">
      <alignment horizontal="left" vertical="center"/>
    </xf>
    <xf numFmtId="2" fontId="0" fillId="5" borderId="0" xfId="0" applyNumberFormat="1"/>
    <xf numFmtId="11" fontId="0" fillId="5" borderId="0" xfId="0" applyNumberFormat="1"/>
    <xf numFmtId="0" fontId="0" fillId="5" borderId="0" xfId="0" applyAlignment="1">
      <alignment vertical="center"/>
    </xf>
    <xf numFmtId="2" fontId="0" fillId="11" borderId="0" xfId="23" applyNumberFormat="1" applyFont="1">
      <alignment horizontal="center" vertical="center"/>
    </xf>
    <xf numFmtId="0" fontId="0" fillId="5" borderId="20" xfId="0" applyBorder="1" applyAlignment="1">
      <alignment horizontal="left"/>
    </xf>
    <xf numFmtId="0" fontId="0" fillId="5" borderId="21" xfId="0" applyBorder="1" applyAlignment="1">
      <alignment horizontal="left"/>
    </xf>
    <xf numFmtId="0" fontId="15" fillId="10" borderId="0" xfId="20" applyAlignment="1">
      <alignment horizontal="right"/>
    </xf>
    <xf numFmtId="11" fontId="14" fillId="7" borderId="0" xfId="18" applyNumberFormat="1">
      <alignment horizontal="center" vertical="center" wrapText="1"/>
    </xf>
    <xf numFmtId="0" fontId="0" fillId="5" borderId="20" xfId="0" applyBorder="1" applyAlignment="1">
      <alignment horizontal="left"/>
    </xf>
    <xf numFmtId="0" fontId="0" fillId="5" borderId="21" xfId="0" applyBorder="1" applyAlignment="1">
      <alignment horizontal="left"/>
    </xf>
    <xf numFmtId="0" fontId="15" fillId="10" borderId="0" xfId="20" applyAlignment="1">
      <alignment horizontal="right"/>
    </xf>
    <xf numFmtId="0" fontId="0" fillId="5" borderId="20" xfId="0" applyBorder="1" applyAlignment="1">
      <alignment horizontal="center" vertical="center" textRotation="90" wrapText="1"/>
    </xf>
    <xf numFmtId="0" fontId="15" fillId="5" borderId="0" xfId="0" applyFont="1" applyFill="1"/>
    <xf numFmtId="11" fontId="28" fillId="17" borderId="0" xfId="23" applyNumberFormat="1" applyFont="1" applyFill="1" applyBorder="1">
      <alignment horizontal="center" vertical="center"/>
    </xf>
    <xf numFmtId="0" fontId="15" fillId="0" borderId="0" xfId="0" applyFont="1" applyFill="1" applyAlignment="1">
      <alignment vertical="center"/>
    </xf>
    <xf numFmtId="0" fontId="0" fillId="0" borderId="0" xfId="0" applyFill="1" applyAlignment="1">
      <alignment vertical="center"/>
    </xf>
    <xf numFmtId="14" fontId="15" fillId="0" borderId="0" xfId="0" applyNumberFormat="1" applyFont="1" applyFill="1" applyAlignment="1">
      <alignment vertical="top"/>
    </xf>
    <xf numFmtId="0" fontId="0" fillId="5" borderId="0" xfId="0" applyAlignment="1">
      <alignment horizontal="left" vertical="center" wrapText="1"/>
    </xf>
    <xf numFmtId="0" fontId="15" fillId="0" borderId="0" xfId="0" applyFont="1" applyFill="1" applyAlignment="1">
      <alignment horizontal="left" vertical="top" wrapText="1"/>
    </xf>
    <xf numFmtId="0" fontId="9" fillId="5" borderId="1" xfId="1" applyFill="1"/>
    <xf numFmtId="0" fontId="0" fillId="5" borderId="0" xfId="0" applyAlignment="1">
      <alignment vertical="center" wrapText="1"/>
    </xf>
    <xf numFmtId="0" fontId="0" fillId="5" borderId="0" xfId="0" applyFill="1" applyAlignment="1">
      <alignment horizontal="left" vertical="center" wrapText="1"/>
    </xf>
    <xf numFmtId="0" fontId="9" fillId="5" borderId="1" xfId="12" applyFill="1" applyAlignment="1">
      <alignment horizontal="left" vertical="center" wrapText="1"/>
    </xf>
    <xf numFmtId="0" fontId="9" fillId="5" borderId="1" xfId="12" applyFill="1" applyAlignment="1">
      <alignment horizontal="left"/>
    </xf>
    <xf numFmtId="0" fontId="13" fillId="6" borderId="7" xfId="17" applyBorder="1" applyAlignment="1">
      <alignment horizontal="left"/>
    </xf>
    <xf numFmtId="0" fontId="13" fillId="6" borderId="0" xfId="17" applyBorder="1" applyAlignment="1">
      <alignment horizontal="left"/>
    </xf>
    <xf numFmtId="0" fontId="13" fillId="6" borderId="8" xfId="17" applyBorder="1" applyAlignment="1">
      <alignment horizontal="left"/>
    </xf>
    <xf numFmtId="0" fontId="2" fillId="0" borderId="2" xfId="2" applyAlignment="1">
      <alignment horizontal="left"/>
    </xf>
    <xf numFmtId="0" fontId="25" fillId="5" borderId="0" xfId="0" applyFont="1" applyAlignment="1">
      <alignment horizontal="left"/>
    </xf>
    <xf numFmtId="0" fontId="22" fillId="5" borderId="0" xfId="0" applyFont="1" applyAlignment="1">
      <alignment horizontal="left"/>
    </xf>
    <xf numFmtId="0" fontId="0" fillId="5" borderId="0" xfId="0" applyAlignment="1"/>
    <xf numFmtId="0" fontId="0" fillId="5" borderId="20" xfId="0" applyBorder="1" applyAlignment="1">
      <alignment horizontal="left"/>
    </xf>
    <xf numFmtId="0" fontId="0" fillId="5" borderId="21" xfId="0" applyBorder="1" applyAlignment="1">
      <alignment horizontal="left"/>
    </xf>
    <xf numFmtId="0" fontId="15" fillId="10" borderId="0" xfId="20" applyBorder="1" applyAlignment="1">
      <alignment horizontal="right"/>
    </xf>
    <xf numFmtId="0" fontId="9" fillId="5" borderId="1" xfId="1" applyFill="1" applyAlignment="1">
      <alignment horizontal="left" wrapText="1"/>
    </xf>
    <xf numFmtId="0" fontId="13" fillId="6" borderId="0" xfId="17" applyAlignment="1">
      <alignment horizontal="left"/>
    </xf>
    <xf numFmtId="0" fontId="26" fillId="7" borderId="0" xfId="19" applyAlignment="1">
      <alignment horizontal="left" vertical="center"/>
    </xf>
    <xf numFmtId="0" fontId="15"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4" fillId="7" borderId="0" xfId="18" applyNumberFormat="1">
      <alignment horizontal="center" vertical="center" wrapText="1"/>
    </xf>
    <xf numFmtId="11" fontId="14" fillId="7" borderId="0" xfId="18" applyNumberFormat="1" applyAlignment="1">
      <alignment horizontal="center"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25">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92475" y="6410325"/>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92475" y="6877050"/>
          <a:ext cx="2228850" cy="8885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8</xdr:row>
      <xdr:rowOff>0</xdr:rowOff>
    </xdr:from>
    <xdr:to>
      <xdr:col>8</xdr:col>
      <xdr:colOff>370374</xdr:colOff>
      <xdr:row>40</xdr:row>
      <xdr:rowOff>104083</xdr:rowOff>
    </xdr:to>
    <xdr:pic>
      <xdr:nvPicPr>
        <xdr:cNvPr id="3" name="Picture 2">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a:stretch>
          <a:fillRect/>
        </a:stretch>
      </xdr:blipFill>
      <xdr:spPr>
        <a:xfrm>
          <a:off x="704850" y="1485900"/>
          <a:ext cx="8809524" cy="55428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7</xdr:row>
      <xdr:rowOff>142875</xdr:rowOff>
    </xdr:from>
    <xdr:to>
      <xdr:col>8</xdr:col>
      <xdr:colOff>160849</xdr:colOff>
      <xdr:row>40</xdr:row>
      <xdr:rowOff>46937</xdr:rowOff>
    </xdr:to>
    <xdr:pic>
      <xdr:nvPicPr>
        <xdr:cNvPr id="3" name="Picture 2">
          <a:extLst>
            <a:ext uri="{FF2B5EF4-FFF2-40B4-BE49-F238E27FC236}">
              <a16:creationId xmlns:a16="http://schemas.microsoft.com/office/drawing/2014/main" id="{00000000-0008-0000-1B00-000003000000}"/>
            </a:ext>
          </a:extLst>
        </xdr:cNvPr>
        <xdr:cNvPicPr>
          <a:picLocks noChangeAspect="1"/>
        </xdr:cNvPicPr>
      </xdr:nvPicPr>
      <xdr:blipFill>
        <a:blip xmlns:r="http://schemas.openxmlformats.org/officeDocument/2006/relationships" r:embed="rId1"/>
        <a:stretch>
          <a:fillRect/>
        </a:stretch>
      </xdr:blipFill>
      <xdr:spPr>
        <a:xfrm>
          <a:off x="695325" y="1466850"/>
          <a:ext cx="8609524" cy="550476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B1:Z28"/>
  <sheetViews>
    <sheetView tabSelected="1" zoomScale="90" zoomScaleNormal="90" workbookViewId="0">
      <selection activeCell="D6" sqref="D6"/>
    </sheetView>
  </sheetViews>
  <sheetFormatPr baseColWidth="10" defaultColWidth="9" defaultRowHeight="12.75" x14ac:dyDescent="0.2"/>
  <cols>
    <col min="1" max="1" width="9" style="74"/>
    <col min="2" max="3" width="19.5" style="114" customWidth="1"/>
    <col min="4" max="4" width="9" style="114"/>
    <col min="5" max="16384" width="9" style="74"/>
  </cols>
  <sheetData>
    <row r="1" spans="2:26" x14ac:dyDescent="0.2">
      <c r="B1" s="74"/>
      <c r="C1" s="74"/>
      <c r="D1" s="74"/>
    </row>
    <row r="2" spans="2:26" ht="21" customHeight="1" thickBot="1" x14ac:dyDescent="0.35">
      <c r="B2" s="138" t="s">
        <v>90</v>
      </c>
      <c r="C2" s="138"/>
      <c r="D2" s="138"/>
      <c r="E2" s="138"/>
      <c r="F2" s="138"/>
      <c r="G2" s="138"/>
      <c r="H2" s="138"/>
      <c r="I2" s="138"/>
      <c r="J2" s="138"/>
      <c r="K2" s="138"/>
      <c r="L2" s="138"/>
      <c r="M2" s="138"/>
      <c r="N2" s="138"/>
      <c r="O2" s="138"/>
    </row>
    <row r="3" spans="2:26" ht="13.5" thickTop="1" x14ac:dyDescent="0.2">
      <c r="B3" s="121" t="s">
        <v>162</v>
      </c>
      <c r="C3" s="74"/>
      <c r="D3" s="74"/>
    </row>
    <row r="4" spans="2:26" x14ac:dyDescent="0.2">
      <c r="B4" s="74" t="s">
        <v>145</v>
      </c>
      <c r="C4" s="74"/>
      <c r="D4" s="74"/>
    </row>
    <row r="5" spans="2:26" x14ac:dyDescent="0.2">
      <c r="B5" s="121" t="s">
        <v>163</v>
      </c>
      <c r="C5" s="121"/>
      <c r="D5" s="121"/>
      <c r="E5" s="121"/>
      <c r="F5" s="121"/>
      <c r="G5" s="121"/>
      <c r="H5" s="121"/>
      <c r="I5" s="121"/>
      <c r="J5" s="121"/>
      <c r="K5" s="121"/>
      <c r="L5" s="121"/>
      <c r="M5" s="121"/>
      <c r="N5" s="121"/>
      <c r="O5" s="121"/>
      <c r="P5" s="121"/>
      <c r="Q5" s="121"/>
      <c r="R5" s="121"/>
      <c r="S5" s="121"/>
      <c r="T5" s="121"/>
      <c r="U5" s="121"/>
      <c r="V5" s="121"/>
      <c r="W5" s="121"/>
      <c r="X5" s="121"/>
      <c r="Y5" s="121"/>
      <c r="Z5" s="121"/>
    </row>
    <row r="6" spans="2:26" ht="80.099999999999994" customHeight="1" x14ac:dyDescent="0.2">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7" spans="2:26" x14ac:dyDescent="0.2">
      <c r="B7" s="139" t="s">
        <v>164</v>
      </c>
      <c r="C7" s="139"/>
      <c r="D7" s="139"/>
      <c r="E7" s="139"/>
      <c r="F7" s="139"/>
      <c r="G7" s="139"/>
      <c r="H7" s="139"/>
      <c r="I7" s="139"/>
      <c r="J7" s="139"/>
      <c r="K7" s="139"/>
      <c r="L7" s="139"/>
      <c r="M7" s="139"/>
      <c r="N7" s="139"/>
      <c r="O7" s="139"/>
      <c r="P7" s="139"/>
      <c r="Q7" s="121"/>
      <c r="R7" s="121"/>
      <c r="S7" s="121"/>
      <c r="T7" s="121"/>
      <c r="U7" s="121"/>
      <c r="V7" s="121"/>
      <c r="W7" s="121"/>
      <c r="X7" s="121"/>
      <c r="Y7" s="121"/>
      <c r="Z7" s="121"/>
    </row>
    <row r="8" spans="2:26" x14ac:dyDescent="0.2">
      <c r="B8" s="121"/>
      <c r="C8" s="121"/>
      <c r="D8" s="121"/>
      <c r="E8" s="121"/>
      <c r="F8" s="121"/>
      <c r="G8" s="121"/>
      <c r="H8" s="121"/>
      <c r="I8" s="121"/>
      <c r="J8" s="121"/>
      <c r="K8" s="121"/>
      <c r="L8" s="121"/>
      <c r="M8" s="121"/>
      <c r="N8" s="121"/>
      <c r="O8" s="121"/>
      <c r="P8" s="121"/>
      <c r="Q8" s="121"/>
      <c r="R8" s="121"/>
      <c r="S8" s="121"/>
      <c r="T8" s="121"/>
      <c r="U8" s="121"/>
      <c r="V8" s="121"/>
      <c r="W8" s="121"/>
      <c r="X8" s="121"/>
      <c r="Y8" s="121"/>
      <c r="Z8" s="121"/>
    </row>
    <row r="9" spans="2:26" x14ac:dyDescent="0.2">
      <c r="B9" s="121"/>
      <c r="C9" s="121"/>
      <c r="D9" s="121"/>
      <c r="E9" s="121"/>
      <c r="F9" s="121"/>
      <c r="G9" s="121"/>
      <c r="H9" s="121"/>
      <c r="I9" s="121"/>
      <c r="J9" s="121"/>
      <c r="K9" s="121"/>
      <c r="L9" s="121"/>
      <c r="M9" s="121"/>
      <c r="N9" s="121"/>
      <c r="O9" s="121"/>
      <c r="P9" s="121"/>
      <c r="Q9" s="121"/>
      <c r="R9" s="121"/>
      <c r="S9" s="121"/>
      <c r="T9" s="121"/>
      <c r="U9" s="121"/>
      <c r="V9" s="121"/>
      <c r="W9" s="121"/>
      <c r="X9" s="121"/>
      <c r="Y9" s="121"/>
      <c r="Z9" s="121"/>
    </row>
    <row r="10" spans="2:26" x14ac:dyDescent="0.2">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row>
    <row r="11" spans="2:26" x14ac:dyDescent="0.2">
      <c r="B11" s="121" t="s">
        <v>136</v>
      </c>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2:26" x14ac:dyDescent="0.2">
      <c r="B12" s="121" t="s">
        <v>7</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row>
    <row r="13" spans="2:26" x14ac:dyDescent="0.2">
      <c r="B13" s="121" t="s">
        <v>5</v>
      </c>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row>
    <row r="14" spans="2:26" x14ac:dyDescent="0.2">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row>
    <row r="15" spans="2:26" x14ac:dyDescent="0.2">
      <c r="B15" s="133" t="s">
        <v>165</v>
      </c>
      <c r="C15" s="134"/>
      <c r="D15" s="134"/>
      <c r="E15" s="134"/>
      <c r="F15" s="134"/>
      <c r="G15" s="121"/>
      <c r="H15" s="121"/>
      <c r="I15" s="121"/>
      <c r="J15" s="121"/>
      <c r="K15" s="121"/>
      <c r="L15" s="121"/>
      <c r="M15" s="121"/>
      <c r="N15" s="121"/>
      <c r="O15" s="121"/>
      <c r="P15" s="121"/>
      <c r="Q15" s="121"/>
      <c r="R15" s="121"/>
      <c r="S15" s="121"/>
      <c r="T15" s="121"/>
      <c r="U15" s="121"/>
      <c r="V15" s="121"/>
      <c r="W15" s="121"/>
      <c r="X15" s="121"/>
      <c r="Y15" s="121"/>
      <c r="Z15" s="121"/>
    </row>
    <row r="16" spans="2:26" x14ac:dyDescent="0.2">
      <c r="B16" s="133" t="s">
        <v>195</v>
      </c>
      <c r="C16" s="133"/>
      <c r="D16" s="133"/>
      <c r="E16" s="133"/>
      <c r="F16" s="133"/>
      <c r="G16" s="133"/>
      <c r="H16" s="133"/>
      <c r="I16" s="133"/>
      <c r="J16" s="121"/>
      <c r="K16" s="121"/>
      <c r="L16" s="121"/>
      <c r="M16" s="121"/>
      <c r="N16" s="121"/>
      <c r="O16" s="121"/>
      <c r="P16" s="121"/>
      <c r="Q16" s="121"/>
      <c r="R16" s="121"/>
      <c r="S16" s="121"/>
      <c r="T16" s="121"/>
      <c r="U16" s="121"/>
      <c r="V16" s="121"/>
      <c r="W16" s="121"/>
      <c r="X16" s="121"/>
      <c r="Y16" s="121"/>
      <c r="Z16" s="121"/>
    </row>
    <row r="17" spans="2:26" ht="30.75" customHeight="1" x14ac:dyDescent="0.2">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row>
    <row r="18" spans="2:26" x14ac:dyDescent="0.2">
      <c r="B18" s="121" t="s">
        <v>6</v>
      </c>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row>
    <row r="19" spans="2:26" ht="27.95" customHeight="1" x14ac:dyDescent="0.2">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row>
    <row r="20" spans="2:26" ht="28.5" customHeight="1" x14ac:dyDescent="0.2">
      <c r="B20" s="114" t="s">
        <v>166</v>
      </c>
      <c r="C20" s="135">
        <v>43962</v>
      </c>
      <c r="D20" s="137" t="s">
        <v>167</v>
      </c>
      <c r="E20" s="137"/>
      <c r="F20" s="137"/>
      <c r="G20" s="137"/>
      <c r="H20" s="137"/>
      <c r="I20" s="137"/>
      <c r="J20" s="137"/>
      <c r="K20" s="137"/>
      <c r="L20" s="137"/>
      <c r="M20" s="137"/>
      <c r="N20" s="137"/>
      <c r="O20" s="137"/>
      <c r="P20" s="137"/>
      <c r="Q20" s="137"/>
      <c r="R20" s="137"/>
      <c r="S20" s="137"/>
      <c r="T20" s="137"/>
      <c r="U20" s="137"/>
      <c r="V20" s="137"/>
      <c r="W20" s="137"/>
      <c r="X20" s="137"/>
      <c r="Y20" s="137"/>
      <c r="Z20" s="137"/>
    </row>
    <row r="21" spans="2:26" x14ac:dyDescent="0.2">
      <c r="D21" s="136"/>
      <c r="E21" s="136"/>
      <c r="F21" s="136"/>
      <c r="G21" s="136"/>
      <c r="H21" s="136"/>
      <c r="I21" s="136"/>
      <c r="J21" s="136"/>
      <c r="K21" s="136"/>
      <c r="L21" s="136"/>
      <c r="M21" s="136"/>
      <c r="N21" s="136"/>
      <c r="O21" s="136"/>
      <c r="P21" s="136"/>
      <c r="Q21" s="136"/>
      <c r="R21" s="136"/>
      <c r="S21" s="136"/>
      <c r="T21" s="136"/>
      <c r="U21" s="136"/>
      <c r="V21" s="136"/>
      <c r="W21" s="136"/>
      <c r="X21" s="136"/>
      <c r="Y21" s="136"/>
      <c r="Z21" s="136"/>
    </row>
    <row r="22" spans="2:26" x14ac:dyDescent="0.2">
      <c r="D22" s="136"/>
      <c r="E22" s="136"/>
      <c r="F22" s="136"/>
      <c r="G22" s="136"/>
      <c r="H22" s="136"/>
      <c r="I22" s="136"/>
      <c r="J22" s="136"/>
      <c r="K22" s="136"/>
      <c r="L22" s="136"/>
      <c r="M22" s="136"/>
      <c r="N22" s="136"/>
      <c r="O22" s="136"/>
      <c r="P22" s="136"/>
      <c r="Q22" s="136"/>
      <c r="R22" s="136"/>
      <c r="S22" s="136"/>
      <c r="T22" s="136"/>
      <c r="U22" s="136"/>
      <c r="V22" s="136"/>
      <c r="W22" s="136"/>
      <c r="X22" s="136"/>
      <c r="Y22" s="136"/>
      <c r="Z22" s="136"/>
    </row>
    <row r="23" spans="2:26" x14ac:dyDescent="0.2">
      <c r="D23" s="136"/>
      <c r="E23" s="136"/>
      <c r="F23" s="136"/>
      <c r="G23" s="136"/>
      <c r="H23" s="136"/>
      <c r="I23" s="136"/>
      <c r="J23" s="136"/>
      <c r="K23" s="136"/>
      <c r="L23" s="136"/>
      <c r="M23" s="136"/>
      <c r="N23" s="136"/>
      <c r="O23" s="136"/>
      <c r="P23" s="136"/>
      <c r="Q23" s="136"/>
      <c r="R23" s="136"/>
      <c r="S23" s="136"/>
      <c r="T23" s="136"/>
      <c r="U23" s="136"/>
      <c r="V23" s="136"/>
      <c r="W23" s="136"/>
      <c r="X23" s="136"/>
      <c r="Y23" s="136"/>
      <c r="Z23" s="136"/>
    </row>
    <row r="24" spans="2:26" x14ac:dyDescent="0.2">
      <c r="D24" s="136"/>
      <c r="E24" s="136"/>
      <c r="F24" s="136"/>
      <c r="G24" s="136"/>
      <c r="H24" s="136"/>
      <c r="I24" s="136"/>
      <c r="J24" s="136"/>
      <c r="K24" s="136"/>
      <c r="L24" s="136"/>
      <c r="M24" s="136"/>
      <c r="N24" s="136"/>
      <c r="O24" s="136"/>
      <c r="P24" s="136"/>
      <c r="Q24" s="136"/>
      <c r="R24" s="136"/>
      <c r="S24" s="136"/>
      <c r="T24" s="136"/>
      <c r="U24" s="136"/>
      <c r="V24" s="136"/>
      <c r="W24" s="136"/>
      <c r="X24" s="136"/>
      <c r="Y24" s="136"/>
      <c r="Z24" s="136"/>
    </row>
    <row r="25" spans="2:26" x14ac:dyDescent="0.2">
      <c r="D25" s="136"/>
      <c r="E25" s="136"/>
      <c r="F25" s="136"/>
      <c r="G25" s="136"/>
      <c r="H25" s="136"/>
      <c r="I25" s="136"/>
      <c r="J25" s="136"/>
      <c r="K25" s="136"/>
      <c r="L25" s="136"/>
      <c r="M25" s="136"/>
      <c r="N25" s="136"/>
      <c r="O25" s="136"/>
      <c r="P25" s="136"/>
      <c r="Q25" s="136"/>
      <c r="R25" s="136"/>
      <c r="S25" s="136"/>
      <c r="T25" s="136"/>
      <c r="U25" s="136"/>
      <c r="V25" s="136"/>
      <c r="W25" s="136"/>
      <c r="X25" s="136"/>
      <c r="Y25" s="136"/>
      <c r="Z25" s="136"/>
    </row>
    <row r="26" spans="2:26" x14ac:dyDescent="0.2">
      <c r="D26" s="136"/>
      <c r="E26" s="136"/>
      <c r="F26" s="136"/>
      <c r="G26" s="136"/>
      <c r="H26" s="136"/>
      <c r="I26" s="136"/>
      <c r="J26" s="136"/>
      <c r="K26" s="136"/>
      <c r="L26" s="136"/>
      <c r="M26" s="136"/>
      <c r="N26" s="136"/>
      <c r="O26" s="136"/>
      <c r="P26" s="136"/>
      <c r="Q26" s="136"/>
      <c r="R26" s="136"/>
      <c r="S26" s="136"/>
      <c r="T26" s="136"/>
      <c r="U26" s="136"/>
      <c r="V26" s="136"/>
      <c r="W26" s="136"/>
      <c r="X26" s="136"/>
      <c r="Y26" s="136"/>
      <c r="Z26" s="136"/>
    </row>
    <row r="27" spans="2:26" x14ac:dyDescent="0.2">
      <c r="D27" s="136"/>
      <c r="E27" s="136"/>
      <c r="F27" s="136"/>
      <c r="G27" s="136"/>
      <c r="H27" s="136"/>
      <c r="I27" s="136"/>
      <c r="J27" s="136"/>
      <c r="K27" s="136"/>
      <c r="L27" s="136"/>
      <c r="M27" s="136"/>
      <c r="N27" s="136"/>
      <c r="O27" s="136"/>
      <c r="P27" s="136"/>
      <c r="Q27" s="136"/>
      <c r="R27" s="136"/>
      <c r="S27" s="136"/>
      <c r="T27" s="136"/>
      <c r="U27" s="136"/>
      <c r="V27" s="136"/>
      <c r="W27" s="136"/>
      <c r="X27" s="136"/>
      <c r="Y27" s="136"/>
      <c r="Z27" s="136"/>
    </row>
    <row r="28" spans="2:26" x14ac:dyDescent="0.2">
      <c r="D28" s="136"/>
      <c r="E28" s="136"/>
      <c r="F28" s="136"/>
      <c r="G28" s="136"/>
      <c r="H28" s="136"/>
      <c r="I28" s="136"/>
      <c r="J28" s="136"/>
      <c r="K28" s="136"/>
      <c r="L28" s="136"/>
      <c r="M28" s="136"/>
      <c r="N28" s="136"/>
      <c r="O28" s="136"/>
      <c r="P28" s="136"/>
      <c r="Q28" s="136"/>
      <c r="R28" s="136"/>
      <c r="S28" s="136"/>
      <c r="T28" s="136"/>
      <c r="U28" s="136"/>
      <c r="V28" s="136"/>
      <c r="W28" s="136"/>
      <c r="X28" s="136"/>
      <c r="Y28" s="136"/>
      <c r="Z28" s="136"/>
    </row>
  </sheetData>
  <mergeCells count="11">
    <mergeCell ref="B2:O2"/>
    <mergeCell ref="B7:P7"/>
    <mergeCell ref="D25:Z25"/>
    <mergeCell ref="D26:Z26"/>
    <mergeCell ref="D27:Z27"/>
    <mergeCell ref="D28:Z28"/>
    <mergeCell ref="D20:Z20"/>
    <mergeCell ref="D21:Z21"/>
    <mergeCell ref="D22:Z22"/>
    <mergeCell ref="D23:Z23"/>
    <mergeCell ref="D24:Z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B2:N50"/>
  <sheetViews>
    <sheetView zoomScale="90" zoomScaleNormal="90" workbookViewId="0">
      <selection activeCell="E14" sqref="E14"/>
    </sheetView>
  </sheetViews>
  <sheetFormatPr baseColWidth="10" defaultColWidth="9" defaultRowHeight="12.75" x14ac:dyDescent="0.2"/>
  <cols>
    <col min="1" max="1" width="9" style="1"/>
    <col min="2" max="2" width="22.625" style="1" customWidth="1"/>
    <col min="3" max="3" width="4" style="1" bestFit="1" customWidth="1"/>
    <col min="4" max="4" width="25.625" style="1" customWidth="1"/>
    <col min="5" max="12" width="11.625" style="1" customWidth="1"/>
    <col min="13" max="16384" width="9" style="1"/>
  </cols>
  <sheetData>
    <row r="2" spans="2:13" ht="21" thickBot="1" x14ac:dyDescent="0.35">
      <c r="B2" s="153" t="s">
        <v>90</v>
      </c>
      <c r="C2" s="153"/>
      <c r="D2" s="153"/>
      <c r="E2" s="153"/>
      <c r="F2" s="153"/>
      <c r="G2" s="153"/>
      <c r="H2" s="153"/>
      <c r="I2" s="153"/>
      <c r="J2" s="153"/>
      <c r="K2" s="153"/>
      <c r="L2" s="153"/>
      <c r="M2" s="153"/>
    </row>
    <row r="3" spans="2:13" ht="13.5" thickTop="1" x14ac:dyDescent="0.2">
      <c r="B3" s="113" t="str">
        <f>Tooltype</f>
        <v>Calculator tool for the German scenario for inland water marinas</v>
      </c>
      <c r="C3" s="113"/>
      <c r="D3" s="113"/>
      <c r="E3" s="74"/>
      <c r="F3" s="74"/>
      <c r="G3" s="74"/>
      <c r="H3" s="74"/>
      <c r="I3" s="74"/>
      <c r="J3" s="74"/>
      <c r="K3" s="74"/>
      <c r="L3" s="74"/>
    </row>
    <row r="4" spans="2:13" ht="15" x14ac:dyDescent="0.2">
      <c r="B4" s="154" t="s">
        <v>80</v>
      </c>
      <c r="C4" s="154"/>
      <c r="D4" s="154"/>
      <c r="E4" s="154"/>
      <c r="F4" s="154"/>
      <c r="G4" s="74"/>
      <c r="H4" s="74"/>
      <c r="I4" s="74"/>
      <c r="J4" s="74"/>
      <c r="K4" s="74"/>
      <c r="L4" s="74"/>
    </row>
    <row r="5" spans="2:13" x14ac:dyDescent="0.2">
      <c r="B5" s="155" t="s">
        <v>116</v>
      </c>
      <c r="C5" s="155"/>
      <c r="D5" s="155"/>
      <c r="E5" s="155"/>
      <c r="F5" s="82">
        <f>D_PNEC_Aquatic_Inside</f>
        <v>0.18</v>
      </c>
      <c r="H5" s="74"/>
      <c r="I5" s="74"/>
      <c r="J5" s="74"/>
      <c r="K5" s="74"/>
      <c r="L5" s="74"/>
    </row>
    <row r="6" spans="2:13" x14ac:dyDescent="0.2">
      <c r="B6" s="155" t="s">
        <v>117</v>
      </c>
      <c r="C6" s="155"/>
      <c r="D6" s="155"/>
      <c r="E6" s="155"/>
      <c r="F6" s="82">
        <f>D_PNEC_Sediment_Inside</f>
        <v>1.3699999999999999E-3</v>
      </c>
      <c r="H6" s="74"/>
      <c r="I6" s="74"/>
      <c r="J6" s="74"/>
      <c r="K6" s="74"/>
      <c r="L6" s="74"/>
    </row>
    <row r="7" spans="2:13" x14ac:dyDescent="0.2">
      <c r="B7" s="155" t="s">
        <v>118</v>
      </c>
      <c r="C7" s="155"/>
      <c r="D7" s="155"/>
      <c r="E7" s="155"/>
      <c r="F7" s="82">
        <f>D_PNEC_Aquatic_Surrounding</f>
        <v>0.18</v>
      </c>
      <c r="H7" s="74"/>
      <c r="I7" s="74"/>
      <c r="J7" s="74"/>
      <c r="K7" s="74"/>
      <c r="L7" s="74"/>
    </row>
    <row r="8" spans="2:13" x14ac:dyDescent="0.2">
      <c r="B8" s="155" t="s">
        <v>119</v>
      </c>
      <c r="C8" s="155"/>
      <c r="D8" s="155"/>
      <c r="E8" s="155"/>
      <c r="F8" s="82">
        <f>D_PNEC_Sediment_Surrounding</f>
        <v>1.3699999999999999E-3</v>
      </c>
      <c r="H8" s="74"/>
      <c r="I8" s="74"/>
      <c r="J8" s="74"/>
      <c r="K8" s="74"/>
      <c r="L8" s="74"/>
    </row>
    <row r="10" spans="2:13" ht="15" x14ac:dyDescent="0.2">
      <c r="B10" s="144" t="s">
        <v>190</v>
      </c>
      <c r="C10" s="144"/>
      <c r="D10" s="144"/>
      <c r="E10" s="144"/>
      <c r="F10" s="144"/>
      <c r="G10" s="144"/>
      <c r="H10" s="144"/>
      <c r="I10" s="144"/>
      <c r="J10" s="144"/>
      <c r="K10" s="144"/>
      <c r="L10" s="144"/>
    </row>
    <row r="11" spans="2:13" ht="99.95" customHeight="1" x14ac:dyDescent="0.2">
      <c r="B11" s="80" t="s">
        <v>8</v>
      </c>
      <c r="C11" s="75" t="s">
        <v>108</v>
      </c>
      <c r="D11" s="80" t="s">
        <v>10</v>
      </c>
      <c r="E11" s="8" t="s">
        <v>70</v>
      </c>
      <c r="F11" s="8" t="s">
        <v>120</v>
      </c>
      <c r="G11" s="8" t="s">
        <v>71</v>
      </c>
      <c r="H11" s="8" t="s">
        <v>121</v>
      </c>
      <c r="I11" s="8" t="s">
        <v>122</v>
      </c>
      <c r="J11" s="8" t="s">
        <v>123</v>
      </c>
      <c r="K11" s="8" t="s">
        <v>124</v>
      </c>
      <c r="L11" s="8" t="s">
        <v>125</v>
      </c>
    </row>
    <row r="12" spans="2:13" ht="14.25" customHeight="1" x14ac:dyDescent="0.2">
      <c r="B12" s="78" t="s">
        <v>172</v>
      </c>
      <c r="C12" s="91" t="s">
        <v>11</v>
      </c>
      <c r="D12" s="81" t="str">
        <f t="shared" ref="D12:D28" si="0">D_Compound_Name</f>
        <v>DIDT</v>
      </c>
      <c r="E12" s="68">
        <f>'D_DE Marinas_Scenario_Calc'!J21</f>
        <v>4.9631212330796473</v>
      </c>
      <c r="F12" s="68">
        <f>'D_DE Marinas_Scenario_Calc'!K21</f>
        <v>5.8113357246889841E-3</v>
      </c>
      <c r="G12" s="68">
        <f>'D_DE Marinas_Scenario_Calc'!L21</f>
        <v>1.1996904736233758E-3</v>
      </c>
      <c r="H12" s="68">
        <f>'D_DE Marinas_Scenario_Calc'!M21</f>
        <v>1.4047217038796295E-6</v>
      </c>
      <c r="I12" s="68">
        <f>'D_DE Marinas_Scenario_Calc'!R21</f>
        <v>27.572895739331376</v>
      </c>
      <c r="J12" s="68">
        <f>'D_DE Marinas_Scenario_Calc'!S21</f>
        <v>4.2418508939335657</v>
      </c>
      <c r="K12" s="68">
        <f>'D_DE Marinas_Scenario_Calc'!T21</f>
        <v>6.6649470756854215E-3</v>
      </c>
      <c r="L12" s="68">
        <f>'D_DE Marinas_Scenario_Calc'!U21</f>
        <v>1.0253443094011894E-3</v>
      </c>
    </row>
    <row r="13" spans="2:13" ht="14.25" customHeight="1" x14ac:dyDescent="0.2">
      <c r="B13" s="78" t="s">
        <v>173</v>
      </c>
      <c r="C13" s="91" t="s">
        <v>11</v>
      </c>
      <c r="D13" s="81" t="str">
        <f t="shared" si="0"/>
        <v>DIDT</v>
      </c>
      <c r="E13" s="68">
        <f>'D_DE Marinas_Scenario_Calc'!J22</f>
        <v>2.543557380742282</v>
      </c>
      <c r="F13" s="68">
        <f>'D_DE Marinas_Scenario_Calc'!K22</f>
        <v>2.5775487534713971E-2</v>
      </c>
      <c r="G13" s="68">
        <f>'D_DE Marinas_Scenario_Calc'!L22</f>
        <v>7.8208859379416153E-4</v>
      </c>
      <c r="H13" s="68">
        <f>'D_DE Marinas_Scenario_Calc'!M22</f>
        <v>7.9254019896355295E-6</v>
      </c>
      <c r="I13" s="68">
        <f>'D_DE Marinas_Scenario_Calc'!R22</f>
        <v>14.130874337457122</v>
      </c>
      <c r="J13" s="68">
        <f>'D_DE Marinas_Scenario_Calc'!S22</f>
        <v>18.814224477893411</v>
      </c>
      <c r="K13" s="68">
        <f>'D_DE Marinas_Scenario_Calc'!T22</f>
        <v>4.3449366321897864E-3</v>
      </c>
      <c r="L13" s="68">
        <f>'D_DE Marinas_Scenario_Calc'!U22</f>
        <v>5.7849649559383433E-3</v>
      </c>
    </row>
    <row r="14" spans="2:13" ht="14.25" customHeight="1" x14ac:dyDescent="0.2">
      <c r="B14" s="78" t="s">
        <v>174</v>
      </c>
      <c r="C14" s="91" t="s">
        <v>11</v>
      </c>
      <c r="D14" s="81" t="str">
        <f t="shared" si="0"/>
        <v>DIDT</v>
      </c>
      <c r="E14" s="68">
        <f>'D_DE Marinas_Scenario_Calc'!J23</f>
        <v>5.1156711592658741</v>
      </c>
      <c r="F14" s="68">
        <f>'D_DE Marinas_Scenario_Calc'!K23</f>
        <v>0.10257255350863909</v>
      </c>
      <c r="G14" s="68">
        <f>'D_DE Marinas_Scenario_Calc'!L23</f>
        <v>1.9061827830830812E-3</v>
      </c>
      <c r="H14" s="68">
        <f>'D_DE Marinas_Scenario_Calc'!M23</f>
        <v>3.8220211644968569E-5</v>
      </c>
      <c r="I14" s="68">
        <f>'D_DE Marinas_Scenario_Calc'!R23</f>
        <v>28.420395329254859</v>
      </c>
      <c r="J14" s="68">
        <f>'D_DE Marinas_Scenario_Calc'!S23</f>
        <v>74.870477013605182</v>
      </c>
      <c r="K14" s="68">
        <f>'D_DE Marinas_Scenario_Calc'!T23</f>
        <v>1.0589904350461563E-2</v>
      </c>
      <c r="L14" s="68">
        <f>'D_DE Marinas_Scenario_Calc'!U23</f>
        <v>2.7897964704356622E-2</v>
      </c>
    </row>
    <row r="15" spans="2:13" ht="14.25" customHeight="1" x14ac:dyDescent="0.2">
      <c r="B15" s="78" t="s">
        <v>175</v>
      </c>
      <c r="C15" s="91" t="s">
        <v>11</v>
      </c>
      <c r="D15" s="81" t="str">
        <f t="shared" si="0"/>
        <v>DIDT</v>
      </c>
      <c r="E15" s="68">
        <f>'D_DE Marinas_Scenario_Calc'!J24</f>
        <v>1.1578625712153854</v>
      </c>
      <c r="F15" s="68">
        <f>'D_DE Marinas_Scenario_Calc'!K24</f>
        <v>4.6095339211552629E-2</v>
      </c>
      <c r="G15" s="68">
        <f>'D_DE Marinas_Scenario_Calc'!L24</f>
        <v>6.4888143003893645E-4</v>
      </c>
      <c r="H15" s="68">
        <f>'D_DE Marinas_Scenario_Calc'!M24</f>
        <v>2.5832434953132741E-5</v>
      </c>
      <c r="I15" s="68">
        <f>'D_DE Marinas_Scenario_Calc'!R24</f>
        <v>6.4325698400854749</v>
      </c>
      <c r="J15" s="68">
        <f>'D_DE Marinas_Scenario_Calc'!S24</f>
        <v>33.646233001133311</v>
      </c>
      <c r="K15" s="68">
        <f>'D_DE Marinas_Scenario_Calc'!T24</f>
        <v>3.6048968335496471E-3</v>
      </c>
      <c r="L15" s="68">
        <f>'D_DE Marinas_Scenario_Calc'!U24</f>
        <v>1.8855791936593244E-2</v>
      </c>
    </row>
    <row r="16" spans="2:13" ht="14.25" customHeight="1" x14ac:dyDescent="0.2">
      <c r="B16" s="78" t="s">
        <v>176</v>
      </c>
      <c r="C16" s="91" t="s">
        <v>11</v>
      </c>
      <c r="D16" s="81" t="str">
        <f t="shared" si="0"/>
        <v>DIDT</v>
      </c>
      <c r="E16" s="68">
        <f>'D_DE Marinas_Scenario_Calc'!J25</f>
        <v>0.30269567236741113</v>
      </c>
      <c r="F16" s="68">
        <f>'D_DE Marinas_Scenario_Calc'!K25</f>
        <v>1.1526596903200308E-2</v>
      </c>
      <c r="G16" s="68">
        <f>'D_DE Marinas_Scenario_Calc'!L25</f>
        <v>1.2901765987431509E-4</v>
      </c>
      <c r="H16" s="68">
        <f>'D_DE Marinas_Scenario_Calc'!M25</f>
        <v>4.9129693599771496E-6</v>
      </c>
      <c r="I16" s="68">
        <f>'D_DE Marinas_Scenario_Calc'!R25</f>
        <v>1.6816426242633953</v>
      </c>
      <c r="J16" s="68">
        <f>'D_DE Marinas_Scenario_Calc'!S25</f>
        <v>8.4135743818980355</v>
      </c>
      <c r="K16" s="68">
        <f>'D_DE Marinas_Scenario_Calc'!T25</f>
        <v>7.1676477707952827E-4</v>
      </c>
      <c r="L16" s="68">
        <f>'D_DE Marinas_Scenario_Calc'!U25</f>
        <v>3.5861090218811315E-3</v>
      </c>
    </row>
    <row r="17" spans="2:12" ht="14.25" customHeight="1" x14ac:dyDescent="0.2">
      <c r="B17" s="78" t="s">
        <v>177</v>
      </c>
      <c r="C17" s="91" t="s">
        <v>11</v>
      </c>
      <c r="D17" s="81" t="str">
        <f t="shared" si="0"/>
        <v>DIDT</v>
      </c>
      <c r="E17" s="68">
        <f>'D_DE Marinas_Scenario_Calc'!J26</f>
        <v>0.76911889365755814</v>
      </c>
      <c r="F17" s="68">
        <f>'D_DE Marinas_Scenario_Calc'!K26</f>
        <v>6.4201491115225551E-3</v>
      </c>
      <c r="G17" s="68">
        <f>'D_DE Marinas_Scenario_Calc'!L26</f>
        <v>6.8049843132382667E-4</v>
      </c>
      <c r="H17" s="68">
        <f>'D_DE Marinas_Scenario_Calc'!M26</f>
        <v>5.6803980025219477E-6</v>
      </c>
      <c r="I17" s="68">
        <f>'D_DE Marinas_Scenario_Calc'!R26</f>
        <v>4.2728827425419897</v>
      </c>
      <c r="J17" s="68">
        <f>'D_DE Marinas_Scenario_Calc'!S26</f>
        <v>4.6862402273887263</v>
      </c>
      <c r="K17" s="68">
        <f>'D_DE Marinas_Scenario_Calc'!T26</f>
        <v>3.780546840687926E-3</v>
      </c>
      <c r="L17" s="68">
        <f>'D_DE Marinas_Scenario_Calc'!U26</f>
        <v>4.1462759142495975E-3</v>
      </c>
    </row>
    <row r="18" spans="2:12" ht="14.25" customHeight="1" x14ac:dyDescent="0.2">
      <c r="B18" s="78" t="s">
        <v>178</v>
      </c>
      <c r="C18" s="91" t="s">
        <v>11</v>
      </c>
      <c r="D18" s="81" t="str">
        <f t="shared" si="0"/>
        <v>DIDT</v>
      </c>
      <c r="E18" s="68">
        <f>'D_DE Marinas_Scenario_Calc'!J27</f>
        <v>3.2005492279972261</v>
      </c>
      <c r="F18" s="68">
        <f>'D_DE Marinas_Scenario_Calc'!K27</f>
        <v>2.4503109089464062E-3</v>
      </c>
      <c r="G18" s="68">
        <f>'D_DE Marinas_Scenario_Calc'!L27</f>
        <v>2.229427039066873E-3</v>
      </c>
      <c r="H18" s="68">
        <f>'D_DE Marinas_Scenario_Calc'!M27</f>
        <v>1.7068287195065407E-6</v>
      </c>
      <c r="I18" s="68">
        <f>'D_DE Marinas_Scenario_Calc'!R27</f>
        <v>17.780829044429034</v>
      </c>
      <c r="J18" s="68">
        <f>'D_DE Marinas_Scenario_Calc'!S27</f>
        <v>1.7885481087200046</v>
      </c>
      <c r="K18" s="68">
        <f>'D_DE Marinas_Scenario_Calc'!T27</f>
        <v>1.2385705772593739E-2</v>
      </c>
      <c r="L18" s="68">
        <f>'D_DE Marinas_Scenario_Calc'!U27</f>
        <v>1.2458603792018547E-3</v>
      </c>
    </row>
    <row r="19" spans="2:12" ht="14.25" customHeight="1" x14ac:dyDescent="0.2">
      <c r="B19" s="78" t="s">
        <v>179</v>
      </c>
      <c r="C19" s="91" t="s">
        <v>11</v>
      </c>
      <c r="D19" s="81" t="str">
        <f t="shared" si="0"/>
        <v>DIDT</v>
      </c>
      <c r="E19" s="68">
        <f>'D_DE Marinas_Scenario_Calc'!J28</f>
        <v>5.302767947636517</v>
      </c>
      <c r="F19" s="68">
        <f>'D_DE Marinas_Scenario_Calc'!K28</f>
        <v>2.9554979168825142</v>
      </c>
      <c r="G19" s="68">
        <f>'D_DE Marinas_Scenario_Calc'!L28</f>
        <v>2.1931322531825162E-3</v>
      </c>
      <c r="H19" s="68">
        <f>'D_DE Marinas_Scenario_Calc'!M28</f>
        <v>1.2223423485374048E-3</v>
      </c>
      <c r="I19" s="68">
        <f>'D_DE Marinas_Scenario_Calc'!R28</f>
        <v>29.459821931313986</v>
      </c>
      <c r="J19" s="68">
        <f>'D_DE Marinas_Scenario_Calc'!S28</f>
        <v>2157.2977495492805</v>
      </c>
      <c r="K19" s="68">
        <f>'D_DE Marinas_Scenario_Calc'!T28</f>
        <v>1.2184068073236201E-2</v>
      </c>
      <c r="L19" s="68">
        <f>'D_DE Marinas_Scenario_Calc'!U28</f>
        <v>0.89222069236306933</v>
      </c>
    </row>
    <row r="20" spans="2:12" ht="14.25" customHeight="1" x14ac:dyDescent="0.2">
      <c r="B20" s="78" t="s">
        <v>180</v>
      </c>
      <c r="C20" s="91" t="s">
        <v>11</v>
      </c>
      <c r="D20" s="81" t="str">
        <f t="shared" si="0"/>
        <v>DIDT</v>
      </c>
      <c r="E20" s="68">
        <f>'D_DE Marinas_Scenario_Calc'!J29</f>
        <v>1.0670364259594523</v>
      </c>
      <c r="F20" s="68">
        <f>'D_DE Marinas_Scenario_Calc'!K29</f>
        <v>6.7072875322976792E-3</v>
      </c>
      <c r="G20" s="68">
        <f>'D_DE Marinas_Scenario_Calc'!L29</f>
        <v>2.5879791522646673E-3</v>
      </c>
      <c r="H20" s="68">
        <f>'D_DE Marinas_Scenario_Calc'!M29</f>
        <v>1.6267785992075429E-5</v>
      </c>
      <c r="I20" s="68">
        <f>'D_DE Marinas_Scenario_Calc'!R29</f>
        <v>5.9279801442191795</v>
      </c>
      <c r="J20" s="68">
        <f>'D_DE Marinas_Scenario_Calc'!S29</f>
        <v>4.8958303155457514</v>
      </c>
      <c r="K20" s="68">
        <f>'D_DE Marinas_Scenario_Calc'!T29</f>
        <v>1.4377661957025929E-2</v>
      </c>
      <c r="L20" s="68">
        <f>'D_DE Marinas_Scenario_Calc'!U29</f>
        <v>1.1874296344580607E-2</v>
      </c>
    </row>
    <row r="21" spans="2:12" ht="14.25" customHeight="1" x14ac:dyDescent="0.2">
      <c r="B21" s="78" t="s">
        <v>181</v>
      </c>
      <c r="C21" s="91" t="s">
        <v>11</v>
      </c>
      <c r="D21" s="81" t="str">
        <f t="shared" si="0"/>
        <v>DIDT</v>
      </c>
      <c r="E21" s="68">
        <f>'D_DE Marinas_Scenario_Calc'!J30</f>
        <v>7.9800215476662772E-2</v>
      </c>
      <c r="F21" s="68">
        <f>'D_DE Marinas_Scenario_Calc'!K30</f>
        <v>7.5640575769770471E-5</v>
      </c>
      <c r="G21" s="68">
        <f>'D_DE Marinas_Scenario_Calc'!L30</f>
        <v>7.9982856987082258E-5</v>
      </c>
      <c r="H21" s="68">
        <f>'D_DE Marinas_Scenario_Calc'!M30</f>
        <v>7.5813696665726976E-8</v>
      </c>
      <c r="I21" s="68">
        <f>'D_DE Marinas_Scenario_Calc'!R30</f>
        <v>0.44333453042590432</v>
      </c>
      <c r="J21" s="68">
        <f>'D_DE Marinas_Scenario_Calc'!S30</f>
        <v>5.5212099102022245E-2</v>
      </c>
      <c r="K21" s="68">
        <f>'D_DE Marinas_Scenario_Calc'!T30</f>
        <v>4.4434920548379033E-4</v>
      </c>
      <c r="L21" s="68">
        <f>'D_DE Marinas_Scenario_Calc'!U30</f>
        <v>5.5338464719508742E-5</v>
      </c>
    </row>
    <row r="22" spans="2:12" ht="14.25" customHeight="1" x14ac:dyDescent="0.2">
      <c r="B22" s="78" t="s">
        <v>182</v>
      </c>
      <c r="C22" s="91" t="s">
        <v>11</v>
      </c>
      <c r="D22" s="81" t="str">
        <f t="shared" si="0"/>
        <v>DIDT</v>
      </c>
      <c r="E22" s="68">
        <f>'D_DE Marinas_Scenario_Calc'!J31</f>
        <v>7.7074883086163064</v>
      </c>
      <c r="F22" s="68">
        <f>'D_DE Marinas_Scenario_Calc'!K31</f>
        <v>6.4908600273745259E-2</v>
      </c>
      <c r="G22" s="68">
        <f>'D_DE Marinas_Scenario_Calc'!L31</f>
        <v>3.4542030899831567E-3</v>
      </c>
      <c r="H22" s="68">
        <f>'D_DE Marinas_Scenario_Calc'!M31</f>
        <v>2.9089565548921773E-5</v>
      </c>
      <c r="I22" s="68">
        <f>'D_DE Marinas_Scenario_Calc'!R31</f>
        <v>42.819379492312812</v>
      </c>
      <c r="J22" s="68">
        <f>'D_DE Marinas_Scenario_Calc'!S31</f>
        <v>47.378540345799465</v>
      </c>
      <c r="K22" s="68">
        <f>'D_DE Marinas_Scenario_Calc'!T31</f>
        <v>1.9190017166573092E-2</v>
      </c>
      <c r="L22" s="68">
        <f>'D_DE Marinas_Scenario_Calc'!U31</f>
        <v>2.123325952476042E-2</v>
      </c>
    </row>
    <row r="23" spans="2:12" ht="14.25" customHeight="1" x14ac:dyDescent="0.2">
      <c r="B23" s="78" t="s">
        <v>183</v>
      </c>
      <c r="C23" s="91" t="s">
        <v>11</v>
      </c>
      <c r="D23" s="81" t="str">
        <f t="shared" si="0"/>
        <v>DIDT</v>
      </c>
      <c r="E23" s="68">
        <f>'D_DE Marinas_Scenario_Calc'!J32</f>
        <v>8.1064945818255687</v>
      </c>
      <c r="F23" s="68">
        <f>'D_DE Marinas_Scenario_Calc'!K32</f>
        <v>2.9338671013573299E-2</v>
      </c>
      <c r="G23" s="68">
        <f>'D_DE Marinas_Scenario_Calc'!L32</f>
        <v>5.0572682081534209E-3</v>
      </c>
      <c r="H23" s="68">
        <f>'D_DE Marinas_Scenario_Calc'!M32</f>
        <v>1.8303044206233601E-5</v>
      </c>
      <c r="I23" s="68">
        <f>'D_DE Marinas_Scenario_Calc'!R32</f>
        <v>45.036081010142048</v>
      </c>
      <c r="J23" s="68">
        <f>'D_DE Marinas_Scenario_Calc'!S32</f>
        <v>21.415088331075403</v>
      </c>
      <c r="K23" s="68">
        <f>'D_DE Marinas_Scenario_Calc'!T32</f>
        <v>2.809593448974123E-2</v>
      </c>
      <c r="L23" s="68">
        <f>'D_DE Marinas_Scenario_Calc'!U32</f>
        <v>1.3359886281922338E-2</v>
      </c>
    </row>
    <row r="24" spans="2:12" ht="14.25" customHeight="1" x14ac:dyDescent="0.2">
      <c r="B24" s="78" t="s">
        <v>184</v>
      </c>
      <c r="C24" s="91" t="s">
        <v>11</v>
      </c>
      <c r="D24" s="81" t="str">
        <f t="shared" si="0"/>
        <v>DIDT</v>
      </c>
      <c r="E24" s="68">
        <f>'D_DE Marinas_Scenario_Calc'!J33</f>
        <v>2.3564102009748389</v>
      </c>
      <c r="F24" s="68">
        <f>'D_DE Marinas_Scenario_Calc'!K33</f>
        <v>2.931574355202932E-2</v>
      </c>
      <c r="G24" s="68">
        <f>'D_DE Marinas_Scenario_Calc'!L33</f>
        <v>1.09582775060655E-3</v>
      </c>
      <c r="H24" s="68">
        <f>'D_DE Marinas_Scenario_Calc'!M33</f>
        <v>1.3633027651622528E-5</v>
      </c>
      <c r="I24" s="68">
        <f>'D_DE Marinas_Scenario_Calc'!R33</f>
        <v>13.09116778319355</v>
      </c>
      <c r="J24" s="68">
        <f>'D_DE Marinas_Scenario_Calc'!S33</f>
        <v>21.398352957685635</v>
      </c>
      <c r="K24" s="68">
        <f>'D_DE Marinas_Scenario_Calc'!T33</f>
        <v>6.087931947814167E-3</v>
      </c>
      <c r="L24" s="68">
        <f>'D_DE Marinas_Scenario_Calc'!U33</f>
        <v>9.9511150741770291E-3</v>
      </c>
    </row>
    <row r="25" spans="2:12" ht="14.25" customHeight="1" x14ac:dyDescent="0.2">
      <c r="B25" s="78" t="s">
        <v>185</v>
      </c>
      <c r="C25" s="91" t="s">
        <v>11</v>
      </c>
      <c r="D25" s="81" t="str">
        <f t="shared" si="0"/>
        <v>DIDT</v>
      </c>
      <c r="E25" s="68">
        <f>'D_DE Marinas_Scenario_Calc'!J34</f>
        <v>1.5599159554931352</v>
      </c>
      <c r="F25" s="68">
        <f>'D_DE Marinas_Scenario_Calc'!K34</f>
        <v>6.9001528223277186E-4</v>
      </c>
      <c r="G25" s="68">
        <f>'D_DE Marinas_Scenario_Calc'!L34</f>
        <v>3.1350566215363601E-4</v>
      </c>
      <c r="H25" s="68">
        <f>'D_DE Marinas_Scenario_Calc'!M34</f>
        <v>1.3867650748306038E-7</v>
      </c>
      <c r="I25" s="68">
        <f>'D_DE Marinas_Scenario_Calc'!R34</f>
        <v>8.6661997527396402</v>
      </c>
      <c r="J25" s="68">
        <f>'D_DE Marinas_Scenario_Calc'!S34</f>
        <v>0.50366078995092844</v>
      </c>
      <c r="K25" s="68">
        <f>'D_DE Marinas_Scenario_Calc'!T34</f>
        <v>1.7416981230757556E-3</v>
      </c>
      <c r="L25" s="68">
        <f>'D_DE Marinas_Scenario_Calc'!U34</f>
        <v>1.012237280898251E-4</v>
      </c>
    </row>
    <row r="26" spans="2:12" ht="14.25" customHeight="1" x14ac:dyDescent="0.2">
      <c r="B26" s="78" t="s">
        <v>186</v>
      </c>
      <c r="C26" s="91" t="s">
        <v>11</v>
      </c>
      <c r="D26" s="81" t="str">
        <f t="shared" si="0"/>
        <v>DIDT</v>
      </c>
      <c r="E26" s="68">
        <f>'D_DE Marinas_Scenario_Calc'!J35</f>
        <v>10.931578754928291</v>
      </c>
      <c r="F26" s="68">
        <f>'D_DE Marinas_Scenario_Calc'!K35</f>
        <v>1.2185430739633128E-2</v>
      </c>
      <c r="G26" s="68">
        <f>'D_DE Marinas_Scenario_Calc'!L35</f>
        <v>8.0713923037166436E-4</v>
      </c>
      <c r="H26" s="68">
        <f>'D_DE Marinas_Scenario_Calc'!M35</f>
        <v>8.9971809310142884E-7</v>
      </c>
      <c r="I26" s="68">
        <f>'D_DE Marinas_Scenario_Calc'!R35</f>
        <v>60.730993082934951</v>
      </c>
      <c r="J26" s="68">
        <f>'D_DE Marinas_Scenario_Calc'!S35</f>
        <v>8.89447499243294</v>
      </c>
      <c r="K26" s="68">
        <f>'D_DE Marinas_Scenario_Calc'!T35</f>
        <v>4.4841068353981351E-3</v>
      </c>
      <c r="L26" s="68">
        <f>'D_DE Marinas_Scenario_Calc'!U35</f>
        <v>6.5672853511053203E-4</v>
      </c>
    </row>
    <row r="27" spans="2:12" ht="14.25" customHeight="1" x14ac:dyDescent="0.2">
      <c r="B27" s="78" t="s">
        <v>187</v>
      </c>
      <c r="C27" s="91" t="s">
        <v>11</v>
      </c>
      <c r="D27" s="81" t="str">
        <f t="shared" si="0"/>
        <v>DIDT</v>
      </c>
      <c r="E27" s="68">
        <f>'D_DE Marinas_Scenario_Calc'!J36</f>
        <v>10.840739768864671</v>
      </c>
      <c r="F27" s="68">
        <f>'D_DE Marinas_Scenario_Calc'!K36</f>
        <v>4.5696451375391439E-2</v>
      </c>
      <c r="G27" s="68">
        <f>'D_DE Marinas_Scenario_Calc'!L36</f>
        <v>1.0936450859314469E-3</v>
      </c>
      <c r="H27" s="68">
        <f>'D_DE Marinas_Scenario_Calc'!M36</f>
        <v>4.6099897756252304E-6</v>
      </c>
      <c r="I27" s="68">
        <f>'D_DE Marinas_Scenario_Calc'!R36</f>
        <v>60.226332049248171</v>
      </c>
      <c r="J27" s="68">
        <f>'D_DE Marinas_Scenario_Calc'!S36</f>
        <v>33.355073996636087</v>
      </c>
      <c r="K27" s="68">
        <f>'D_DE Marinas_Scenario_Calc'!T36</f>
        <v>6.0758060329524832E-3</v>
      </c>
      <c r="L27" s="68">
        <f>'D_DE Marinas_Scenario_Calc'!U36</f>
        <v>3.364956040602358E-3</v>
      </c>
    </row>
    <row r="28" spans="2:12" ht="14.25" customHeight="1" x14ac:dyDescent="0.2">
      <c r="B28" s="78" t="s">
        <v>188</v>
      </c>
      <c r="C28" s="91" t="s">
        <v>11</v>
      </c>
      <c r="D28" s="81" t="str">
        <f t="shared" si="0"/>
        <v>DIDT</v>
      </c>
      <c r="E28" s="68">
        <f>'D_DE Marinas_Scenario_Calc'!J37</f>
        <v>2.1379187415960046</v>
      </c>
      <c r="F28" s="68">
        <f>'D_DE Marinas_Scenario_Calc'!K37</f>
        <v>1.702241694230467E-2</v>
      </c>
      <c r="G28" s="68">
        <f>'D_DE Marinas_Scenario_Calc'!L37</f>
        <v>3.1965822073848041E-3</v>
      </c>
      <c r="H28" s="68">
        <f>'D_DE Marinas_Scenario_Calc'!M37</f>
        <v>2.545164777358086E-5</v>
      </c>
      <c r="I28" s="68">
        <f>'D_DE Marinas_Scenario_Calc'!R37</f>
        <v>11.877326342200027</v>
      </c>
      <c r="J28" s="68">
        <f>'D_DE Marinas_Scenario_Calc'!S37</f>
        <v>12.42512185569684</v>
      </c>
      <c r="K28" s="68">
        <f>'D_DE Marinas_Scenario_Calc'!T37</f>
        <v>1.7758790041026689E-2</v>
      </c>
      <c r="L28" s="68">
        <f>'D_DE Marinas_Scenario_Calc'!U37</f>
        <v>1.8577845090205009E-2</v>
      </c>
    </row>
    <row r="29" spans="2:12" ht="14.25" customHeight="1" x14ac:dyDescent="0.2">
      <c r="B29" s="152" t="s">
        <v>160</v>
      </c>
      <c r="C29" s="152"/>
      <c r="D29" s="152"/>
      <c r="E29" s="69">
        <f>'D_DE Marinas_Scenario_Calc'!J38</f>
        <v>2.543557380742282</v>
      </c>
      <c r="F29" s="69">
        <f>'D_DE Marinas_Scenario_Calc'!K38</f>
        <v>1.702241694230467E-2</v>
      </c>
      <c r="G29" s="69">
        <f>'D_DE Marinas_Scenario_Calc'!L38</f>
        <v>1.09582775060655E-3</v>
      </c>
      <c r="H29" s="69">
        <f>'D_DE Marinas_Scenario_Calc'!M38</f>
        <v>7.9254019896355295E-6</v>
      </c>
      <c r="I29" s="69">
        <f>'D_DE Marinas_Scenario_Calc'!R38</f>
        <v>14.130874337457122</v>
      </c>
      <c r="J29" s="69">
        <f>'D_DE Marinas_Scenario_Calc'!S38</f>
        <v>12.42512185569684</v>
      </c>
      <c r="K29" s="69">
        <f>'D_DE Marinas_Scenario_Calc'!T38</f>
        <v>6.087931947814167E-3</v>
      </c>
      <c r="L29" s="69">
        <f>'D_DE Marinas_Scenario_Calc'!U38</f>
        <v>5.7849649559383433E-3</v>
      </c>
    </row>
    <row r="30" spans="2:12" ht="14.25" customHeight="1" x14ac:dyDescent="0.2">
      <c r="B30" s="152" t="s">
        <v>159</v>
      </c>
      <c r="C30" s="152"/>
      <c r="D30" s="152"/>
      <c r="E30" s="69">
        <f>'D_DE Marinas_Scenario_Calc'!J39</f>
        <v>4.0083957082174599</v>
      </c>
      <c r="F30" s="69">
        <f>'D_DE Marinas_Scenario_Calc'!K39</f>
        <v>0.19776999688663263</v>
      </c>
      <c r="G30" s="69">
        <f>'D_DE Marinas_Scenario_Calc'!L39</f>
        <v>1.6150030534013832E-3</v>
      </c>
      <c r="H30" s="69">
        <f>'D_DE Marinas_Scenario_Calc'!M39</f>
        <v>8.3323210832725683E-5</v>
      </c>
      <c r="I30" s="69">
        <f>'D_DE Marinas_Scenario_Calc'!R39</f>
        <v>22.268865045652564</v>
      </c>
      <c r="J30" s="69">
        <f>'D_DE Marinas_Scenario_Calc'!S39</f>
        <v>144.35766196104581</v>
      </c>
      <c r="K30" s="69">
        <f>'D_DE Marinas_Scenario_Calc'!T39</f>
        <v>8.97223918556324E-3</v>
      </c>
      <c r="L30" s="69">
        <f>'D_DE Marinas_Scenario_Calc'!U39</f>
        <v>6.0819861921697582E-2</v>
      </c>
    </row>
    <row r="31" spans="2:12" ht="14.25" customHeight="1" x14ac:dyDescent="0.2">
      <c r="B31" s="152" t="s">
        <v>12</v>
      </c>
      <c r="C31" s="152"/>
      <c r="D31" s="152"/>
      <c r="E31" s="69">
        <f>'D_DE Marinas_Scenario_Calc'!J40</f>
        <v>10.931578754928291</v>
      </c>
      <c r="F31" s="69">
        <f>'D_DE Marinas_Scenario_Calc'!K40</f>
        <v>2.9554979168825142</v>
      </c>
      <c r="G31" s="69">
        <f>'D_DE Marinas_Scenario_Calc'!L40</f>
        <v>5.0572682081534209E-3</v>
      </c>
      <c r="H31" s="69">
        <f>'D_DE Marinas_Scenario_Calc'!M40</f>
        <v>1.2223423485374048E-3</v>
      </c>
      <c r="I31" s="69">
        <f>'D_DE Marinas_Scenario_Calc'!R40</f>
        <v>60.730993082934951</v>
      </c>
      <c r="J31" s="69">
        <f>'D_DE Marinas_Scenario_Calc'!S40</f>
        <v>2157.2977495492805</v>
      </c>
      <c r="K31" s="69">
        <f>'D_DE Marinas_Scenario_Calc'!T40</f>
        <v>2.809593448974123E-2</v>
      </c>
      <c r="L31" s="69">
        <f>'D_DE Marinas_Scenario_Calc'!U40</f>
        <v>0.89222069236306933</v>
      </c>
    </row>
    <row r="32" spans="2:12" ht="14.25" customHeight="1" x14ac:dyDescent="0.2">
      <c r="B32" s="152" t="s">
        <v>13</v>
      </c>
      <c r="C32" s="152"/>
      <c r="D32" s="152"/>
      <c r="E32" s="69">
        <f>'D_DE Marinas_Scenario_Calc'!J41</f>
        <v>7.9800215476662772E-2</v>
      </c>
      <c r="F32" s="69">
        <f>'D_DE Marinas_Scenario_Calc'!K41</f>
        <v>7.5640575769770471E-5</v>
      </c>
      <c r="G32" s="69">
        <f>'D_DE Marinas_Scenario_Calc'!L41</f>
        <v>7.9982856987082258E-5</v>
      </c>
      <c r="H32" s="69">
        <f>'D_DE Marinas_Scenario_Calc'!M41</f>
        <v>7.5813696665726976E-8</v>
      </c>
      <c r="I32" s="69">
        <f>'D_DE Marinas_Scenario_Calc'!R41</f>
        <v>0.44333453042590432</v>
      </c>
      <c r="J32" s="69">
        <f>'D_DE Marinas_Scenario_Calc'!S41</f>
        <v>5.5212099102022245E-2</v>
      </c>
      <c r="K32" s="69">
        <f>'D_DE Marinas_Scenario_Calc'!T41</f>
        <v>4.4434920548379033E-4</v>
      </c>
      <c r="L32" s="69">
        <f>'D_DE Marinas_Scenario_Calc'!U41</f>
        <v>5.5338464719508742E-5</v>
      </c>
    </row>
    <row r="33" spans="2:14" x14ac:dyDescent="0.2">
      <c r="B33" s="74"/>
      <c r="C33" s="74"/>
      <c r="D33" s="74"/>
      <c r="E33" s="74"/>
      <c r="F33" s="74"/>
      <c r="G33" s="74"/>
      <c r="H33" s="74"/>
      <c r="I33" s="74"/>
      <c r="J33" s="74"/>
      <c r="K33" s="74"/>
      <c r="L33" s="74"/>
    </row>
    <row r="34" spans="2:14" x14ac:dyDescent="0.2">
      <c r="B34" s="60"/>
      <c r="C34" s="60"/>
      <c r="D34" s="61"/>
      <c r="E34" s="62"/>
      <c r="F34" s="62"/>
      <c r="G34" s="62"/>
      <c r="H34" s="62"/>
      <c r="I34" s="60"/>
      <c r="J34" s="60"/>
      <c r="K34" s="60"/>
      <c r="L34" s="60"/>
      <c r="M34" s="10"/>
      <c r="N34" s="10"/>
    </row>
    <row r="35" spans="2:14" x14ac:dyDescent="0.2">
      <c r="B35" s="60"/>
      <c r="C35" s="60"/>
      <c r="D35" s="61"/>
      <c r="E35" s="62"/>
      <c r="F35" s="62"/>
      <c r="G35" s="62"/>
      <c r="H35" s="62"/>
      <c r="I35" s="60"/>
      <c r="J35" s="60"/>
      <c r="K35" s="60"/>
      <c r="L35" s="60"/>
      <c r="M35" s="10"/>
      <c r="N35" s="10"/>
    </row>
    <row r="36" spans="2:14" x14ac:dyDescent="0.2">
      <c r="B36" s="60"/>
      <c r="C36" s="60"/>
      <c r="D36" s="61"/>
      <c r="E36" s="62"/>
      <c r="F36" s="62"/>
      <c r="G36" s="62"/>
      <c r="H36" s="62"/>
      <c r="I36" s="60"/>
      <c r="J36" s="60"/>
      <c r="K36" s="60"/>
      <c r="L36" s="60"/>
      <c r="M36" s="10"/>
      <c r="N36" s="10"/>
    </row>
    <row r="37" spans="2:14" x14ac:dyDescent="0.2">
      <c r="B37" s="60"/>
      <c r="C37" s="60"/>
      <c r="D37" s="61"/>
      <c r="E37" s="62"/>
      <c r="F37" s="62"/>
      <c r="G37" s="62"/>
      <c r="H37" s="62"/>
      <c r="I37" s="60"/>
      <c r="J37" s="60"/>
      <c r="K37" s="60"/>
      <c r="L37" s="60"/>
      <c r="M37" s="10"/>
      <c r="N37" s="10"/>
    </row>
    <row r="38" spans="2:14" x14ac:dyDescent="0.2">
      <c r="B38" s="60"/>
      <c r="C38" s="60"/>
      <c r="D38" s="61"/>
      <c r="E38" s="62"/>
      <c r="F38" s="62"/>
      <c r="G38" s="62"/>
      <c r="H38" s="62"/>
      <c r="I38" s="60"/>
      <c r="J38" s="60"/>
      <c r="K38" s="60"/>
      <c r="L38" s="60"/>
      <c r="M38" s="10"/>
      <c r="N38" s="10"/>
    </row>
    <row r="39" spans="2:14" x14ac:dyDescent="0.2">
      <c r="B39" s="60"/>
      <c r="C39" s="60"/>
      <c r="D39" s="61"/>
      <c r="E39" s="62"/>
      <c r="F39" s="62"/>
      <c r="G39" s="62"/>
      <c r="H39" s="62"/>
      <c r="I39" s="60"/>
      <c r="J39" s="60"/>
      <c r="K39" s="60"/>
      <c r="L39" s="60"/>
      <c r="M39" s="10"/>
      <c r="N39" s="10"/>
    </row>
    <row r="40" spans="2:14" x14ac:dyDescent="0.2">
      <c r="B40" s="60"/>
      <c r="C40" s="60"/>
      <c r="D40" s="61"/>
      <c r="E40" s="62"/>
      <c r="F40" s="62"/>
      <c r="G40" s="62"/>
      <c r="H40" s="62"/>
      <c r="I40" s="60"/>
      <c r="J40" s="60"/>
      <c r="K40" s="60"/>
      <c r="L40" s="60"/>
      <c r="M40" s="10"/>
      <c r="N40" s="10"/>
    </row>
    <row r="41" spans="2:14" x14ac:dyDescent="0.2">
      <c r="B41" s="60"/>
      <c r="C41" s="60"/>
      <c r="D41" s="61"/>
      <c r="E41" s="62"/>
      <c r="F41" s="62"/>
      <c r="G41" s="62"/>
      <c r="H41" s="62"/>
      <c r="I41" s="60"/>
      <c r="J41" s="60"/>
      <c r="K41" s="60"/>
      <c r="L41" s="60"/>
      <c r="M41" s="10"/>
      <c r="N41" s="10"/>
    </row>
    <row r="42" spans="2:14" x14ac:dyDescent="0.2">
      <c r="B42" s="60"/>
      <c r="C42" s="60"/>
      <c r="D42" s="61"/>
      <c r="E42" s="62"/>
      <c r="F42" s="62"/>
      <c r="G42" s="62"/>
      <c r="H42" s="62"/>
      <c r="I42" s="60"/>
      <c r="J42" s="60"/>
      <c r="K42" s="60"/>
      <c r="L42" s="60"/>
      <c r="M42" s="10"/>
      <c r="N42" s="10"/>
    </row>
    <row r="43" spans="2:14" x14ac:dyDescent="0.2">
      <c r="B43" s="60"/>
      <c r="C43" s="60"/>
      <c r="D43" s="61"/>
      <c r="E43" s="62"/>
      <c r="F43" s="62"/>
      <c r="G43" s="62"/>
      <c r="H43" s="62"/>
      <c r="I43" s="60"/>
      <c r="J43" s="60"/>
      <c r="K43" s="60"/>
      <c r="L43" s="60"/>
      <c r="M43" s="10"/>
      <c r="N43" s="10"/>
    </row>
    <row r="44" spans="2:14" x14ac:dyDescent="0.2">
      <c r="B44" s="60"/>
      <c r="C44" s="60"/>
      <c r="D44" s="61"/>
      <c r="E44" s="62"/>
      <c r="F44" s="62"/>
      <c r="G44" s="62"/>
      <c r="H44" s="62"/>
      <c r="I44" s="60"/>
      <c r="J44" s="60"/>
      <c r="K44" s="60"/>
      <c r="L44" s="60"/>
      <c r="M44" s="10"/>
      <c r="N44" s="10"/>
    </row>
    <row r="45" spans="2:14" x14ac:dyDescent="0.2">
      <c r="B45" s="60"/>
      <c r="C45" s="60"/>
      <c r="D45" s="61"/>
      <c r="E45" s="62"/>
      <c r="F45" s="62"/>
      <c r="G45" s="62"/>
      <c r="H45" s="62"/>
      <c r="I45" s="60"/>
      <c r="J45" s="60"/>
      <c r="K45" s="60"/>
      <c r="L45" s="60"/>
      <c r="M45" s="10"/>
      <c r="N45" s="10"/>
    </row>
    <row r="46" spans="2:14" x14ac:dyDescent="0.2">
      <c r="B46" s="60"/>
      <c r="C46" s="60"/>
      <c r="D46" s="61"/>
      <c r="E46" s="62"/>
      <c r="F46" s="62"/>
      <c r="G46" s="62"/>
      <c r="H46" s="62"/>
      <c r="I46" s="60"/>
      <c r="J46" s="60"/>
      <c r="K46" s="60"/>
      <c r="L46" s="60"/>
      <c r="M46" s="10"/>
      <c r="N46" s="10"/>
    </row>
    <row r="47" spans="2:14" x14ac:dyDescent="0.2">
      <c r="B47" s="60"/>
      <c r="C47" s="60"/>
      <c r="D47" s="61"/>
      <c r="E47" s="62"/>
      <c r="F47" s="62"/>
      <c r="G47" s="62"/>
      <c r="H47" s="62"/>
      <c r="I47" s="60"/>
      <c r="J47" s="60"/>
      <c r="K47" s="60"/>
      <c r="L47" s="60"/>
      <c r="M47" s="10"/>
      <c r="N47" s="10"/>
    </row>
    <row r="48" spans="2:14" x14ac:dyDescent="0.2">
      <c r="B48" s="60"/>
      <c r="C48" s="60"/>
      <c r="D48" s="61"/>
      <c r="E48" s="62"/>
      <c r="F48" s="62"/>
      <c r="G48" s="62"/>
      <c r="H48" s="62"/>
      <c r="I48" s="60"/>
      <c r="J48" s="60"/>
      <c r="K48" s="60"/>
      <c r="L48" s="60"/>
      <c r="M48" s="10"/>
      <c r="N48" s="10"/>
    </row>
    <row r="49" spans="2:14" x14ac:dyDescent="0.2">
      <c r="B49" s="10"/>
      <c r="C49" s="10"/>
      <c r="D49" s="10"/>
      <c r="E49" s="10"/>
      <c r="F49" s="10"/>
      <c r="G49" s="10"/>
      <c r="H49" s="10"/>
      <c r="I49" s="10"/>
      <c r="J49" s="10"/>
      <c r="K49" s="10"/>
      <c r="L49" s="10"/>
      <c r="M49" s="10"/>
      <c r="N49" s="10"/>
    </row>
    <row r="50" spans="2:14" x14ac:dyDescent="0.2">
      <c r="B50" s="10"/>
      <c r="C50" s="10"/>
      <c r="D50" s="10"/>
      <c r="E50" s="10"/>
      <c r="F50" s="10"/>
      <c r="G50" s="10"/>
      <c r="H50" s="10"/>
      <c r="I50" s="10"/>
      <c r="J50" s="10"/>
      <c r="K50" s="10"/>
      <c r="L50" s="10"/>
      <c r="M50" s="10"/>
      <c r="N50" s="10"/>
    </row>
  </sheetData>
  <mergeCells count="11">
    <mergeCell ref="B10:L10"/>
    <mergeCell ref="B30:D30"/>
    <mergeCell ref="B31:D31"/>
    <mergeCell ref="B32:D32"/>
    <mergeCell ref="B2:M2"/>
    <mergeCell ref="B4:F4"/>
    <mergeCell ref="B5:E5"/>
    <mergeCell ref="B6:E6"/>
    <mergeCell ref="B7:E7"/>
    <mergeCell ref="B8:E8"/>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2:M38"/>
  <sheetViews>
    <sheetView zoomScale="90" zoomScaleNormal="90" workbookViewId="0">
      <selection activeCell="H35" sqref="H35"/>
    </sheetView>
  </sheetViews>
  <sheetFormatPr baseColWidth="10" defaultColWidth="9" defaultRowHeight="12.75" x14ac:dyDescent="0.2"/>
  <cols>
    <col min="1" max="1" width="9" style="74"/>
    <col min="2" max="2" width="22.625" style="74" customWidth="1"/>
    <col min="3" max="3" width="3.875" style="74" bestFit="1" customWidth="1"/>
    <col min="4" max="4" width="25.625" style="74" customWidth="1"/>
    <col min="5" max="15" width="15.625" style="74" customWidth="1"/>
    <col min="16" max="19" width="10.625" style="74" customWidth="1"/>
    <col min="20" max="20" width="14.5" style="74" bestFit="1" customWidth="1"/>
    <col min="21" max="21" width="18.375" style="74" bestFit="1" customWidth="1"/>
    <col min="22" max="23" width="14.5" style="74" bestFit="1" customWidth="1"/>
    <col min="24" max="16384" width="9" style="74"/>
  </cols>
  <sheetData>
    <row r="2" spans="2:13" ht="21" customHeight="1" thickBot="1" x14ac:dyDescent="0.35">
      <c r="B2" s="153" t="s">
        <v>90</v>
      </c>
      <c r="C2" s="153"/>
      <c r="D2" s="153"/>
      <c r="E2" s="153"/>
      <c r="F2" s="153"/>
      <c r="G2" s="153"/>
      <c r="H2" s="153"/>
      <c r="I2" s="153"/>
      <c r="J2" s="153"/>
      <c r="K2" s="153"/>
      <c r="L2" s="153"/>
      <c r="M2" s="153"/>
    </row>
    <row r="3" spans="2:13" ht="14.25" customHeight="1" thickTop="1" x14ac:dyDescent="0.2">
      <c r="B3" s="113" t="str">
        <f>Tooltype</f>
        <v>Calculator tool for the German scenario for inland water marinas</v>
      </c>
      <c r="C3" s="113"/>
      <c r="D3" s="113"/>
    </row>
    <row r="4" spans="2:13" ht="14.25" customHeight="1" x14ac:dyDescent="0.2"/>
    <row r="5" spans="2:13" ht="14.25" customHeight="1" x14ac:dyDescent="0.2">
      <c r="B5" s="154" t="s">
        <v>189</v>
      </c>
      <c r="C5" s="154"/>
      <c r="D5" s="154"/>
      <c r="E5" s="154"/>
      <c r="F5" s="154"/>
      <c r="G5" s="154"/>
      <c r="H5" s="154"/>
    </row>
    <row r="6" spans="2:13" ht="99.95" customHeight="1" x14ac:dyDescent="0.2">
      <c r="B6" s="88" t="s">
        <v>8</v>
      </c>
      <c r="C6" s="75" t="s">
        <v>108</v>
      </c>
      <c r="D6" s="92" t="s">
        <v>10</v>
      </c>
      <c r="E6" s="8" t="s">
        <v>114</v>
      </c>
      <c r="F6" s="8" t="s">
        <v>115</v>
      </c>
      <c r="G6" s="8" t="s">
        <v>112</v>
      </c>
      <c r="H6" s="8" t="s">
        <v>113</v>
      </c>
    </row>
    <row r="7" spans="2:13" ht="14.25" customHeight="1" x14ac:dyDescent="0.2">
      <c r="B7" s="78" t="s">
        <v>172</v>
      </c>
      <c r="C7" s="91" t="s">
        <v>11</v>
      </c>
      <c r="D7" s="93" t="str">
        <f t="shared" ref="D7:D23" si="0">Substance</f>
        <v>Zineb and DIDT</v>
      </c>
      <c r="E7" s="126">
        <f>'Z_De Marinas_Scenario_Calc'!R21+'D_DE Marinas_Scenario_Calc'!R21</f>
        <v>27.658892446993285</v>
      </c>
      <c r="F7" s="126">
        <f>'Z_De Marinas_Scenario_Calc'!S21+'D_DE Marinas_Scenario_Calc'!S21</f>
        <v>4.2540249591711099</v>
      </c>
      <c r="G7" s="126">
        <f>'Z_De Marinas_Scenario_Calc'!T21+'D_DE Marinas_Scenario_Calc'!T21</f>
        <v>6.7085728786613315E-3</v>
      </c>
      <c r="H7" s="126">
        <f>'Z_De Marinas_Scenario_Calc'!U21+'D_DE Marinas_Scenario_Calc'!U21</f>
        <v>1.0315201664514826E-3</v>
      </c>
    </row>
    <row r="8" spans="2:13" ht="14.25" customHeight="1" x14ac:dyDescent="0.2">
      <c r="B8" s="78" t="s">
        <v>173</v>
      </c>
      <c r="C8" s="91" t="s">
        <v>11</v>
      </c>
      <c r="D8" s="93" t="str">
        <f t="shared" si="0"/>
        <v>Zineb and DIDT</v>
      </c>
      <c r="E8" s="126">
        <f>'Z_De Marinas_Scenario_Calc'!R22+'D_DE Marinas_Scenario_Calc'!R22</f>
        <v>14.224497178964683</v>
      </c>
      <c r="F8" s="126">
        <f>'Z_De Marinas_Scenario_Calc'!S22+'D_DE Marinas_Scenario_Calc'!S22</f>
        <v>18.928928824060936</v>
      </c>
      <c r="G8" s="126">
        <f>'Z_De Marinas_Scenario_Calc'!T22+'D_DE Marinas_Scenario_Calc'!T22</f>
        <v>4.472946516121179E-3</v>
      </c>
      <c r="H8" s="126">
        <f>'Z_De Marinas_Scenario_Calc'!U22+'D_DE Marinas_Scenario_Calc'!U22</f>
        <v>5.9417994396120666E-3</v>
      </c>
    </row>
    <row r="9" spans="2:13" ht="14.25" customHeight="1" x14ac:dyDescent="0.2">
      <c r="B9" s="78" t="s">
        <v>174</v>
      </c>
      <c r="C9" s="91" t="s">
        <v>11</v>
      </c>
      <c r="D9" s="93" t="str">
        <f t="shared" si="0"/>
        <v>Zineb and DIDT</v>
      </c>
      <c r="E9" s="126">
        <f>'Z_De Marinas_Scenario_Calc'!R23+'D_DE Marinas_Scenario_Calc'!R23</f>
        <v>28.503340030330254</v>
      </c>
      <c r="F9" s="126">
        <f>'Z_De Marinas_Scenario_Calc'!S23+'D_DE Marinas_Scenario_Calc'!S23</f>
        <v>75.071548232054454</v>
      </c>
      <c r="G9" s="126">
        <f>'Z_De Marinas_Scenario_Calc'!T23+'D_DE Marinas_Scenario_Calc'!T23</f>
        <v>1.0604654678151221E-2</v>
      </c>
      <c r="H9" s="126">
        <f>'Z_De Marinas_Scenario_Calc'!U23+'D_DE Marinas_Scenario_Calc'!U23</f>
        <v>2.7933721856710444E-2</v>
      </c>
    </row>
    <row r="10" spans="2:13" ht="14.25" customHeight="1" x14ac:dyDescent="0.2">
      <c r="B10" s="78" t="s">
        <v>175</v>
      </c>
      <c r="C10" s="91" t="s">
        <v>11</v>
      </c>
      <c r="D10" s="93" t="str">
        <f t="shared" si="0"/>
        <v>Zineb and DIDT</v>
      </c>
      <c r="E10" s="126">
        <f>'Z_De Marinas_Scenario_Calc'!R24+'D_DE Marinas_Scenario_Calc'!R24</f>
        <v>6.4519261603761953</v>
      </c>
      <c r="F10" s="126">
        <f>'Z_De Marinas_Scenario_Calc'!S24+'D_DE Marinas_Scenario_Calc'!S24</f>
        <v>33.739398586708425</v>
      </c>
      <c r="G10" s="126">
        <f>'Z_De Marinas_Scenario_Calc'!T24+'D_DE Marinas_Scenario_Calc'!T24</f>
        <v>3.6108725000785027E-3</v>
      </c>
      <c r="H10" s="126">
        <f>'Z_De Marinas_Scenario_Calc'!U24+'D_DE Marinas_Scenario_Calc'!U24</f>
        <v>1.8884553935929933E-2</v>
      </c>
    </row>
    <row r="11" spans="2:13" ht="14.25" customHeight="1" x14ac:dyDescent="0.2">
      <c r="B11" s="78" t="s">
        <v>176</v>
      </c>
      <c r="C11" s="91" t="s">
        <v>11</v>
      </c>
      <c r="D11" s="93" t="str">
        <f t="shared" si="0"/>
        <v>Zineb and DIDT</v>
      </c>
      <c r="E11" s="126">
        <f>'Z_De Marinas_Scenario_Calc'!R25+'D_DE Marinas_Scenario_Calc'!R25</f>
        <v>1.6869781102654231</v>
      </c>
      <c r="F11" s="126">
        <f>'Z_De Marinas_Scenario_Calc'!S25+'D_DE Marinas_Scenario_Calc'!S25</f>
        <v>8.438138522226474</v>
      </c>
      <c r="G11" s="126">
        <f>'Z_De Marinas_Scenario_Calc'!T25+'D_DE Marinas_Scenario_Calc'!T25</f>
        <v>7.2114595781828147E-4</v>
      </c>
      <c r="H11" s="126">
        <f>'Z_De Marinas_Scenario_Calc'!U25+'D_DE Marinas_Scenario_Calc'!U25</f>
        <v>3.6062796195252618E-3</v>
      </c>
    </row>
    <row r="12" spans="2:13" ht="14.25" customHeight="1" x14ac:dyDescent="0.2">
      <c r="B12" s="78" t="s">
        <v>177</v>
      </c>
      <c r="C12" s="91" t="s">
        <v>11</v>
      </c>
      <c r="D12" s="93" t="str">
        <f t="shared" si="0"/>
        <v>Zineb and DIDT</v>
      </c>
      <c r="E12" s="126">
        <f>'Z_De Marinas_Scenario_Calc'!R26+'D_DE Marinas_Scenario_Calc'!R26</f>
        <v>4.2891187598917737</v>
      </c>
      <c r="F12" s="126">
        <f>'Z_De Marinas_Scenario_Calc'!S26+'D_DE Marinas_Scenario_Calc'!S26</f>
        <v>4.7026258849218552</v>
      </c>
      <c r="G12" s="126">
        <f>'Z_De Marinas_Scenario_Calc'!T26+'D_DE Marinas_Scenario_Calc'!T26</f>
        <v>3.8076109683670804E-3</v>
      </c>
      <c r="H12" s="126">
        <f>'Z_De Marinas_Scenario_Calc'!U26+'D_DE Marinas_Scenario_Calc'!U26</f>
        <v>4.173589480025647E-3</v>
      </c>
    </row>
    <row r="13" spans="2:13" ht="14.25" customHeight="1" x14ac:dyDescent="0.2">
      <c r="B13" s="78" t="s">
        <v>178</v>
      </c>
      <c r="C13" s="91" t="s">
        <v>11</v>
      </c>
      <c r="D13" s="93" t="str">
        <f t="shared" si="0"/>
        <v>Zineb and DIDT</v>
      </c>
      <c r="E13" s="126">
        <f>'Z_De Marinas_Scenario_Calc'!R27+'D_DE Marinas_Scenario_Calc'!R27</f>
        <v>17.901233746853837</v>
      </c>
      <c r="F13" s="126">
        <f>'Z_De Marinas_Scenario_Calc'!S27+'D_DE Marinas_Scenario_Calc'!S27</f>
        <v>1.7996929231728593</v>
      </c>
      <c r="G13" s="126">
        <f>'Z_De Marinas_Scenario_Calc'!T27+'D_DE Marinas_Scenario_Calc'!T27</f>
        <v>1.2749693577207365E-2</v>
      </c>
      <c r="H13" s="126">
        <f>'Z_De Marinas_Scenario_Calc'!U27+'D_DE Marinas_Scenario_Calc'!U27</f>
        <v>1.2795515592017863E-3</v>
      </c>
    </row>
    <row r="14" spans="2:13" ht="14.25" customHeight="1" x14ac:dyDescent="0.2">
      <c r="B14" s="78" t="s">
        <v>179</v>
      </c>
      <c r="C14" s="91" t="s">
        <v>11</v>
      </c>
      <c r="D14" s="93" t="str">
        <f t="shared" si="0"/>
        <v>Zineb and DIDT</v>
      </c>
      <c r="E14" s="126">
        <f>'Z_De Marinas_Scenario_Calc'!R28+'D_DE Marinas_Scenario_Calc'!R28</f>
        <v>29.623577090299467</v>
      </c>
      <c r="F14" s="126">
        <f>'Z_De Marinas_Scenario_Calc'!S28+'D_DE Marinas_Scenario_Calc'!S28</f>
        <v>2168.3323279492429</v>
      </c>
      <c r="G14" s="126">
        <f>'Z_De Marinas_Scenario_Calc'!T28+'D_DE Marinas_Scenario_Calc'!T28</f>
        <v>1.2442079718575364E-2</v>
      </c>
      <c r="H14" s="126">
        <f>'Z_De Marinas_Scenario_Calc'!U28+'D_DE Marinas_Scenario_Calc'!U28</f>
        <v>0.90960670779245911</v>
      </c>
    </row>
    <row r="15" spans="2:13" ht="14.25" customHeight="1" x14ac:dyDescent="0.2">
      <c r="B15" s="78" t="s">
        <v>180</v>
      </c>
      <c r="C15" s="91" t="s">
        <v>11</v>
      </c>
      <c r="D15" s="93" t="str">
        <f t="shared" si="0"/>
        <v>Zineb and DIDT</v>
      </c>
      <c r="E15" s="126">
        <f>'Z_De Marinas_Scenario_Calc'!R29+'D_DE Marinas_Scenario_Calc'!R29</f>
        <v>5.9531774047971426</v>
      </c>
      <c r="F15" s="126">
        <f>'Z_De Marinas_Scenario_Calc'!S29+'D_DE Marinas_Scenario_Calc'!S29</f>
        <v>4.9149796516638578</v>
      </c>
      <c r="G15" s="126">
        <f>'Z_De Marinas_Scenario_Calc'!T29+'D_DE Marinas_Scenario_Calc'!T29</f>
        <v>1.4446139945456E-2</v>
      </c>
      <c r="H15" s="126">
        <f>'Z_De Marinas_Scenario_Calc'!U29+'D_DE Marinas_Scenario_Calc'!U29</f>
        <v>1.1926338034566513E-2</v>
      </c>
    </row>
    <row r="16" spans="2:13" ht="18" customHeight="1" x14ac:dyDescent="0.2">
      <c r="B16" s="78" t="s">
        <v>181</v>
      </c>
      <c r="C16" s="91" t="s">
        <v>11</v>
      </c>
      <c r="D16" s="93" t="str">
        <f t="shared" si="0"/>
        <v>Zineb and DIDT</v>
      </c>
      <c r="E16" s="126">
        <f>'Z_De Marinas_Scenario_Calc'!R30+'D_DE Marinas_Scenario_Calc'!R30</f>
        <v>0.45028116062843632</v>
      </c>
      <c r="F16" s="126">
        <f>'Z_De Marinas_Scenario_Calc'!S30+'D_DE Marinas_Scenario_Calc'!S30</f>
        <v>5.6008180820507049E-2</v>
      </c>
      <c r="G16" s="126">
        <f>'Z_De Marinas_Scenario_Calc'!T30+'D_DE Marinas_Scenario_Calc'!T30</f>
        <v>4.6856152664563632E-4</v>
      </c>
      <c r="H16" s="126">
        <f>'Z_De Marinas_Scenario_Calc'!U30+'D_DE Marinas_Scenario_Calc'!U30</f>
        <v>5.8113189399323316E-5</v>
      </c>
    </row>
    <row r="17" spans="2:8" ht="15.75" customHeight="1" x14ac:dyDescent="0.2">
      <c r="B17" s="78" t="s">
        <v>182</v>
      </c>
      <c r="C17" s="91" t="s">
        <v>11</v>
      </c>
      <c r="D17" s="93" t="str">
        <f t="shared" si="0"/>
        <v>Zineb and DIDT</v>
      </c>
      <c r="E17" s="126">
        <f>'Z_De Marinas_Scenario_Calc'!R31+'D_DE Marinas_Scenario_Calc'!R31</f>
        <v>42.97071139407651</v>
      </c>
      <c r="F17" s="126">
        <f>'Z_De Marinas_Scenario_Calc'!S31+'D_DE Marinas_Scenario_Calc'!S31</f>
        <v>47.532622586876606</v>
      </c>
      <c r="G17" s="126">
        <f>'Z_De Marinas_Scenario_Calc'!T31+'D_DE Marinas_Scenario_Calc'!T31</f>
        <v>1.9330146602928321E-2</v>
      </c>
      <c r="H17" s="126">
        <f>'Z_De Marinas_Scenario_Calc'!U31+'D_DE Marinas_Scenario_Calc'!U31</f>
        <v>2.1375935703883429E-2</v>
      </c>
    </row>
    <row r="18" spans="2:8" ht="14.25" customHeight="1" x14ac:dyDescent="0.2">
      <c r="B18" s="78" t="s">
        <v>183</v>
      </c>
      <c r="C18" s="91" t="s">
        <v>11</v>
      </c>
      <c r="D18" s="93" t="str">
        <f t="shared" si="0"/>
        <v>Zineb and DIDT</v>
      </c>
      <c r="E18" s="126">
        <f>'Z_De Marinas_Scenario_Calc'!R32+'D_DE Marinas_Scenario_Calc'!R32</f>
        <v>45.297207063250951</v>
      </c>
      <c r="F18" s="126">
        <f>'Z_De Marinas_Scenario_Calc'!S32+'D_DE Marinas_Scenario_Calc'!S32</f>
        <v>21.52934728673231</v>
      </c>
      <c r="G18" s="126">
        <f>'Z_De Marinas_Scenario_Calc'!T32+'D_DE Marinas_Scenario_Calc'!T32</f>
        <v>2.8669568310433227E-2</v>
      </c>
      <c r="H18" s="126">
        <f>'Z_De Marinas_Scenario_Calc'!U32+'D_DE Marinas_Scenario_Calc'!U32</f>
        <v>1.3610886901207193E-2</v>
      </c>
    </row>
    <row r="19" spans="2:8" ht="14.25" customHeight="1" x14ac:dyDescent="0.2">
      <c r="B19" s="78" t="s">
        <v>184</v>
      </c>
      <c r="C19" s="91" t="s">
        <v>11</v>
      </c>
      <c r="D19" s="93" t="str">
        <f t="shared" si="0"/>
        <v>Zineb and DIDT</v>
      </c>
      <c r="E19" s="126">
        <f>'Z_De Marinas_Scenario_Calc'!R33+'D_DE Marinas_Scenario_Calc'!R33</f>
        <v>13.295427357548338</v>
      </c>
      <c r="F19" s="126">
        <f>'Z_De Marinas_Scenario_Calc'!S33+'D_DE Marinas_Scenario_Calc'!S33</f>
        <v>21.705584049878773</v>
      </c>
      <c r="G19" s="126">
        <f>'Z_De Marinas_Scenario_Calc'!T33+'D_DE Marinas_Scenario_Calc'!T33</f>
        <v>6.4204119871689161E-3</v>
      </c>
      <c r="H19" s="126">
        <f>'Z_De Marinas_Scenario_Calc'!U33+'D_DE Marinas_Scenario_Calc'!U33</f>
        <v>1.0451205243498712E-2</v>
      </c>
    </row>
    <row r="20" spans="2:8" ht="14.25" customHeight="1" x14ac:dyDescent="0.2">
      <c r="B20" s="78" t="s">
        <v>185</v>
      </c>
      <c r="C20" s="91" t="s">
        <v>11</v>
      </c>
      <c r="D20" s="93" t="str">
        <f t="shared" si="0"/>
        <v>Zineb and DIDT</v>
      </c>
      <c r="E20" s="126">
        <f>'Z_De Marinas_Scenario_Calc'!R34+'D_DE Marinas_Scenario_Calc'!R34</f>
        <v>8.7221548916865856</v>
      </c>
      <c r="F20" s="126">
        <f>'Z_De Marinas_Scenario_Calc'!S34+'D_DE Marinas_Scenario_Calc'!S34</f>
        <v>0.50665326265754584</v>
      </c>
      <c r="G20" s="126">
        <f>'Z_De Marinas_Scenario_Calc'!T34+'D_DE Marinas_Scenario_Calc'!T34</f>
        <v>1.7914320304771244E-3</v>
      </c>
      <c r="H20" s="126">
        <f>'Z_De Marinas_Scenario_Calc'!U34+'D_DE Marinas_Scenario_Calc'!U34</f>
        <v>1.038834902348047E-4</v>
      </c>
    </row>
    <row r="21" spans="2:8" ht="14.25" customHeight="1" x14ac:dyDescent="0.2">
      <c r="B21" s="78" t="s">
        <v>186</v>
      </c>
      <c r="C21" s="91" t="s">
        <v>11</v>
      </c>
      <c r="D21" s="93" t="str">
        <f t="shared" si="0"/>
        <v>Zineb and DIDT</v>
      </c>
      <c r="E21" s="126">
        <f>'Z_De Marinas_Scenario_Calc'!R35+'D_DE Marinas_Scenario_Calc'!R35</f>
        <v>61.006027265098801</v>
      </c>
      <c r="F21" s="126">
        <f>'Z_De Marinas_Scenario_Calc'!S35+'D_DE Marinas_Scenario_Calc'!S35</f>
        <v>8.9315411365247304</v>
      </c>
      <c r="G21" s="126">
        <f>'Z_De Marinas_Scenario_Calc'!T35+'D_DE Marinas_Scenario_Calc'!T35</f>
        <v>4.5756847863975955E-3</v>
      </c>
      <c r="H21" s="126">
        <f>'Z_De Marinas_Scenario_Calc'!U35+'D_DE Marinas_Scenario_Calc'!U35</f>
        <v>6.6907042466786643E-4</v>
      </c>
    </row>
    <row r="22" spans="2:8" ht="14.25" customHeight="1" x14ac:dyDescent="0.2">
      <c r="B22" s="78" t="s">
        <v>187</v>
      </c>
      <c r="C22" s="91" t="s">
        <v>11</v>
      </c>
      <c r="D22" s="93" t="str">
        <f t="shared" si="0"/>
        <v>Zineb and DIDT</v>
      </c>
      <c r="E22" s="126">
        <f>'Z_De Marinas_Scenario_Calc'!R36+'D_DE Marinas_Scenario_Calc'!R36</f>
        <v>60.443418813644882</v>
      </c>
      <c r="F22" s="126">
        <f>'Z_De Marinas_Scenario_Calc'!S36+'D_DE Marinas_Scenario_Calc'!S36</f>
        <v>33.465708252763797</v>
      </c>
      <c r="G22" s="126">
        <f>'Z_De Marinas_Scenario_Calc'!T36+'D_DE Marinas_Scenario_Calc'!T36</f>
        <v>6.1560204767025879E-3</v>
      </c>
      <c r="H22" s="126">
        <f>'Z_De Marinas_Scenario_Calc'!U36+'D_DE Marinas_Scenario_Calc'!U36</f>
        <v>3.4058358494212606E-3</v>
      </c>
    </row>
    <row r="23" spans="2:8" ht="14.25" customHeight="1" x14ac:dyDescent="0.2">
      <c r="B23" s="78" t="s">
        <v>188</v>
      </c>
      <c r="C23" s="91" t="s">
        <v>11</v>
      </c>
      <c r="D23" s="93" t="str">
        <f t="shared" si="0"/>
        <v>Zineb and DIDT</v>
      </c>
      <c r="E23" s="126">
        <f>'Z_De Marinas_Scenario_Calc'!R37+'D_DE Marinas_Scenario_Calc'!R37</f>
        <v>12.014134466596941</v>
      </c>
      <c r="F23" s="126">
        <f>'Z_De Marinas_Scenario_Calc'!S37+'D_DE Marinas_Scenario_Calc'!S37</f>
        <v>12.556818469726906</v>
      </c>
      <c r="G23" s="126">
        <f>'Z_De Marinas_Scenario_Calc'!T37+'D_DE Marinas_Scenario_Calc'!T37</f>
        <v>1.8464610055261708E-2</v>
      </c>
      <c r="H23" s="126">
        <f>'Z_De Marinas_Scenario_Calc'!U37+'D_DE Marinas_Scenario_Calc'!U37</f>
        <v>1.9257293819146142E-2</v>
      </c>
    </row>
    <row r="24" spans="2:8" ht="14.25" customHeight="1" x14ac:dyDescent="0.2">
      <c r="B24" s="95" t="s">
        <v>160</v>
      </c>
      <c r="C24" s="96"/>
      <c r="D24" s="12"/>
      <c r="E24" s="97">
        <f>MEDIAN($E$7:$E$23)</f>
        <v>14.224497178964683</v>
      </c>
      <c r="F24" s="97">
        <f>MEDIAN($F$7:$F$23)</f>
        <v>12.556818469726906</v>
      </c>
      <c r="G24" s="97">
        <f>MEDIAN($G$7:$G$23)</f>
        <v>6.4204119871689161E-3</v>
      </c>
      <c r="H24" s="97">
        <f>MEDIAN($H$7:$H$23)</f>
        <v>5.9417994396120666E-3</v>
      </c>
    </row>
    <row r="25" spans="2:8" ht="14.25" customHeight="1" x14ac:dyDescent="0.2">
      <c r="B25" s="95" t="s">
        <v>159</v>
      </c>
      <c r="C25" s="96"/>
      <c r="D25" s="12"/>
      <c r="E25" s="97">
        <f>AVERAGE($E$7:$E$23)</f>
        <v>22.381888431841382</v>
      </c>
      <c r="F25" s="97">
        <f>AVERAGE($F$7:$F$23)</f>
        <v>145.08623227995318</v>
      </c>
      <c r="G25" s="97">
        <f>AVERAGE($G$7:$G$23)</f>
        <v>9.1435383833206717E-3</v>
      </c>
      <c r="H25" s="97">
        <f>AVERAGE($H$7:$H$23)</f>
        <v>6.1959781559173005E-2</v>
      </c>
    </row>
    <row r="26" spans="2:8" ht="14.25" customHeight="1" x14ac:dyDescent="0.2">
      <c r="B26" s="95" t="s">
        <v>12</v>
      </c>
      <c r="C26" s="96"/>
      <c r="D26" s="12"/>
      <c r="E26" s="97">
        <f>MAX($E$7:$E$23)</f>
        <v>61.006027265098801</v>
      </c>
      <c r="F26" s="97">
        <f>MAX($F$7:$F$23)</f>
        <v>2168.3323279492429</v>
      </c>
      <c r="G26" s="97">
        <f>MAX($G$7:$G$23)</f>
        <v>2.8669568310433227E-2</v>
      </c>
      <c r="H26" s="97">
        <f>MAX($H$7:$H$23)</f>
        <v>0.90960670779245911</v>
      </c>
    </row>
    <row r="27" spans="2:8" ht="14.25" customHeight="1" x14ac:dyDescent="0.2">
      <c r="B27" s="95" t="s">
        <v>13</v>
      </c>
      <c r="C27" s="96"/>
      <c r="D27" s="12"/>
      <c r="E27" s="97">
        <f>MIN($E$7:$E$23)</f>
        <v>0.45028116062843632</v>
      </c>
      <c r="F27" s="97">
        <f>MIN($F$7:$F$23)</f>
        <v>5.6008180820507049E-2</v>
      </c>
      <c r="G27" s="97">
        <f>MIN($G$7:$G$23)</f>
        <v>4.6856152664563632E-4</v>
      </c>
      <c r="H27" s="97">
        <f>MIN($H$7:$H$23)</f>
        <v>5.8113189399323316E-5</v>
      </c>
    </row>
    <row r="28" spans="2:8" ht="14.25" customHeight="1" x14ac:dyDescent="0.2">
      <c r="B28" s="125" t="s">
        <v>84</v>
      </c>
      <c r="C28" s="12"/>
      <c r="D28" s="12"/>
      <c r="E28" s="97">
        <f>_xlfn.PERCENTILE.INC($E$7:$E$23,0.9)</f>
        <v>51.355691763408529</v>
      </c>
      <c r="F28" s="97">
        <f>_xlfn.PERCENTILE.INC($F$7:$F$23,0.9)</f>
        <v>58.548192844947756</v>
      </c>
      <c r="G28" s="97">
        <f>_xlfn.PERCENTILE.INC($G$7:$G$23,0.9)</f>
        <v>1.8810824674328354E-2</v>
      </c>
      <c r="H28" s="97">
        <f>_xlfn.PERCENTILE.INC($H$7:$H$23,0.9)</f>
        <v>2.3999050165014239E-2</v>
      </c>
    </row>
    <row r="29" spans="2:8" ht="14.25" customHeight="1" x14ac:dyDescent="0.2">
      <c r="B29" s="125" t="s">
        <v>85</v>
      </c>
      <c r="C29" s="12"/>
      <c r="D29" s="12"/>
      <c r="E29" s="97">
        <f>_xlfn.PERCENTILE.INC($E$7:$E$23,0.8)</f>
        <v>40.301284533321109</v>
      </c>
      <c r="F29" s="97">
        <f>_xlfn.PERCENTILE.INC($F$7:$F$23,0.8)</f>
        <v>33.684660519919497</v>
      </c>
      <c r="G29" s="97">
        <f>_xlfn.PERCENTILE.INC($G$7:$G$23,0.8)</f>
        <v>1.4106850671806274E-2</v>
      </c>
      <c r="H29" s="97">
        <f>_xlfn.PERCENTILE.INC($H$7:$H$23,0.8)</f>
        <v>1.9182745842502898E-2</v>
      </c>
    </row>
    <row r="30" spans="2:8" ht="14.25" customHeight="1" x14ac:dyDescent="0.2">
      <c r="B30" s="125" t="s">
        <v>86</v>
      </c>
      <c r="C30" s="12"/>
      <c r="D30" s="12"/>
      <c r="E30" s="97">
        <f>_xlfn.PERCENTILE.INC($E$7:$E$23,0.75)</f>
        <v>29.623577090299467</v>
      </c>
      <c r="F30" s="97">
        <f>_xlfn.PERCENTILE.INC($F$7:$F$23,0.75)</f>
        <v>33.465708252763797</v>
      </c>
      <c r="G30" s="97">
        <f>_xlfn.PERCENTILE.INC($G$7:$G$23,0.75)</f>
        <v>1.2749693577207365E-2</v>
      </c>
      <c r="H30" s="97">
        <f>_xlfn.PERCENTILE.INC($H$7:$H$23,0.75)</f>
        <v>1.8884553935929933E-2</v>
      </c>
    </row>
    <row r="31" spans="2:8" ht="14.25" customHeight="1" x14ac:dyDescent="0.2">
      <c r="B31" s="125" t="s">
        <v>87</v>
      </c>
      <c r="C31" s="12"/>
      <c r="D31" s="12"/>
      <c r="E31" s="97">
        <f>_xlfn.PERCENTILE.INC($E$7:$E$23,0.5)</f>
        <v>14.224497178964683</v>
      </c>
      <c r="F31" s="97">
        <f>_xlfn.PERCENTILE.INC($F$7:$F$23,0.5)</f>
        <v>12.556818469726906</v>
      </c>
      <c r="G31" s="97">
        <f>_xlfn.PERCENTILE.INC($G$7:$G$23,0.5)</f>
        <v>6.4204119871689161E-3</v>
      </c>
      <c r="H31" s="97">
        <f>_xlfn.PERCENTILE.INC($H$7:$H$23,0.5)</f>
        <v>5.9417994396120666E-3</v>
      </c>
    </row>
    <row r="32" spans="2:8" ht="14.25" customHeight="1" x14ac:dyDescent="0.2">
      <c r="B32" s="125" t="s">
        <v>88</v>
      </c>
      <c r="C32" s="12"/>
      <c r="D32" s="12"/>
      <c r="E32" s="97">
        <f>_xlfn.PERCENTILE.INC($E$7:$E$23,0.25)</f>
        <v>6.4519261603761953</v>
      </c>
      <c r="F32" s="97">
        <f>_xlfn.PERCENTILE.INC($F$7:$F$23,0.25)</f>
        <v>4.7026258849218552</v>
      </c>
      <c r="G32" s="97">
        <f>_xlfn.PERCENTILE.INC($G$7:$G$23,0.25)</f>
        <v>3.8076109683670804E-3</v>
      </c>
      <c r="H32" s="97">
        <f>_xlfn.PERCENTILE.INC($H$7:$H$23,0.25)</f>
        <v>1.2795515592017863E-3</v>
      </c>
    </row>
    <row r="33" spans="2:8" ht="14.25" customHeight="1" x14ac:dyDescent="0.2">
      <c r="B33" s="125" t="s">
        <v>89</v>
      </c>
      <c r="C33" s="12"/>
      <c r="D33" s="12"/>
      <c r="E33" s="97">
        <f>_xlfn.PERCENTILE.INC($E$7:$E$23,0.1)</f>
        <v>3.2482625000412337</v>
      </c>
      <c r="F33" s="97">
        <f>_xlfn.PERCENTILE.INC($F$7:$F$23,0.1)</f>
        <v>1.282477058966734</v>
      </c>
      <c r="G33" s="97">
        <f>_xlfn.PERCENTILE.INC($G$7:$G$23,0.1)</f>
        <v>1.3633176014135875E-3</v>
      </c>
      <c r="H33" s="97">
        <f>_xlfn.PERCENTILE.INC($H$7:$H$23,0.1)</f>
        <v>4.429956508946418E-4</v>
      </c>
    </row>
    <row r="34" spans="2:8" ht="14.25" customHeight="1" x14ac:dyDescent="0.2"/>
    <row r="35" spans="2:8" ht="14.25" customHeight="1" x14ac:dyDescent="0.2"/>
    <row r="36" spans="2:8" ht="14.25" customHeight="1" x14ac:dyDescent="0.2"/>
    <row r="37" spans="2:8" ht="14.25" customHeight="1" x14ac:dyDescent="0.2"/>
    <row r="38" spans="2:8" ht="14.25" customHeight="1" x14ac:dyDescent="0.2"/>
  </sheetData>
  <mergeCells count="2">
    <mergeCell ref="B2:M2"/>
    <mergeCell ref="B5:H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A2:U47"/>
  <sheetViews>
    <sheetView topLeftCell="A16" zoomScale="90" zoomScaleNormal="90" workbookViewId="0">
      <selection activeCell="G33" sqref="G33"/>
    </sheetView>
  </sheetViews>
  <sheetFormatPr baseColWidth="10" defaultColWidth="9" defaultRowHeight="12.75" x14ac:dyDescent="0.2"/>
  <cols>
    <col min="1" max="1" width="9" style="1"/>
    <col min="2" max="2" width="58.375" style="1" bestFit="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customHeight="1" thickBot="1" x14ac:dyDescent="0.35">
      <c r="B2" s="157" t="s">
        <v>90</v>
      </c>
      <c r="C2" s="157"/>
      <c r="D2" s="157"/>
      <c r="E2" s="157"/>
      <c r="F2" s="157"/>
      <c r="G2" s="157"/>
      <c r="H2" s="157"/>
      <c r="I2" s="157"/>
      <c r="J2" s="157"/>
      <c r="K2" s="157"/>
      <c r="L2" s="157"/>
      <c r="M2" s="157"/>
      <c r="N2" s="157"/>
      <c r="O2" s="157"/>
      <c r="P2" s="157"/>
      <c r="Q2" s="157"/>
    </row>
    <row r="3" spans="2:17" ht="15" customHeight="1" thickTop="1" x14ac:dyDescent="0.2">
      <c r="B3" s="113" t="str">
        <f>Tooltype</f>
        <v>Calculator tool for the German scenario for inland water marinas</v>
      </c>
    </row>
    <row r="4" spans="2:17" ht="15" customHeight="1" thickBot="1" x14ac:dyDescent="0.35">
      <c r="B4" s="158" t="s">
        <v>47</v>
      </c>
      <c r="C4" s="158"/>
      <c r="D4" s="158"/>
      <c r="E4" s="158"/>
      <c r="F4" s="158"/>
      <c r="G4" s="158"/>
      <c r="J4" s="158" t="s">
        <v>155</v>
      </c>
      <c r="K4" s="158"/>
      <c r="L4" s="158"/>
      <c r="M4" s="158"/>
      <c r="N4" s="158"/>
      <c r="O4" s="158"/>
      <c r="P4" s="158"/>
    </row>
    <row r="5" spans="2:17" ht="15" customHeight="1" thickTop="1" x14ac:dyDescent="0.2"/>
    <row r="6" spans="2:17" ht="15" customHeight="1" x14ac:dyDescent="0.2">
      <c r="B6" s="1" t="s">
        <v>66</v>
      </c>
      <c r="F6" s="48">
        <v>2.5</v>
      </c>
      <c r="G6" s="23" t="s">
        <v>92</v>
      </c>
      <c r="J6" s="2" t="s">
        <v>156</v>
      </c>
      <c r="K6" s="2"/>
      <c r="L6" s="2"/>
      <c r="M6" s="2"/>
      <c r="N6" s="2"/>
      <c r="O6" s="50">
        <v>3070</v>
      </c>
      <c r="P6" s="2" t="s">
        <v>137</v>
      </c>
    </row>
    <row r="7" spans="2:17" ht="15" customHeight="1" x14ac:dyDescent="0.2">
      <c r="B7" s="1" t="s">
        <v>52</v>
      </c>
      <c r="F7" s="1">
        <f>Z_Average_biocide_release_over_the_lifetime_of_the_paint_M</f>
        <v>2.5</v>
      </c>
      <c r="G7" s="23" t="s">
        <v>92</v>
      </c>
    </row>
    <row r="8" spans="2:17" ht="15" customHeight="1" x14ac:dyDescent="0.2">
      <c r="B8" s="1" t="s">
        <v>53</v>
      </c>
      <c r="F8" s="32" t="e">
        <f>Z_Average_biocide_release_over_the_lifetime_of_the_paint_C</f>
        <v>#DIV/0!</v>
      </c>
      <c r="G8" s="23" t="s">
        <v>92</v>
      </c>
    </row>
    <row r="9" spans="2:17" ht="15" customHeight="1" x14ac:dyDescent="0.2">
      <c r="B9" s="1" t="s">
        <v>51</v>
      </c>
      <c r="F9" s="35">
        <f>IF(ISBLANK(Z_Average_biocide_release_over_the_lifetime_of_the_paint_M),1,0)</f>
        <v>0</v>
      </c>
      <c r="G9" s="23"/>
    </row>
    <row r="10" spans="2:17" ht="15" customHeight="1" x14ac:dyDescent="0.2">
      <c r="B10" s="1" t="s">
        <v>50</v>
      </c>
      <c r="F10" s="32">
        <f>IF((F9&lt;1),Z_Average_biocide_release_over_the_lifetime_of_the_paint_M,Z_Average_biocide_release_over_the_lifetime_of_the_paint_C)</f>
        <v>2.5</v>
      </c>
      <c r="G10" s="23" t="s">
        <v>92</v>
      </c>
    </row>
    <row r="11" spans="2:17" ht="15" customHeight="1" x14ac:dyDescent="0.2">
      <c r="B11" s="1" t="s">
        <v>48</v>
      </c>
      <c r="F11" s="32">
        <f>F10/F6</f>
        <v>1</v>
      </c>
      <c r="G11" s="1" t="s">
        <v>2</v>
      </c>
    </row>
    <row r="12" spans="2:17" ht="15" customHeight="1" x14ac:dyDescent="0.2">
      <c r="F12" s="32"/>
    </row>
    <row r="13" spans="2:17" ht="15" customHeight="1" thickBot="1" x14ac:dyDescent="0.35">
      <c r="B13" s="158" t="s">
        <v>65</v>
      </c>
      <c r="C13" s="158"/>
      <c r="D13" s="158"/>
      <c r="E13" s="158"/>
      <c r="F13" s="158"/>
      <c r="G13" s="158"/>
    </row>
    <row r="14" spans="2:17" ht="15" customHeight="1" thickTop="1" x14ac:dyDescent="0.2"/>
    <row r="15" spans="2:17" ht="15" customHeight="1" x14ac:dyDescent="0.2">
      <c r="B15" s="1" t="s">
        <v>72</v>
      </c>
      <c r="F15" s="122">
        <v>0.9</v>
      </c>
    </row>
    <row r="16" spans="2:17" ht="15" customHeight="1" x14ac:dyDescent="0.2">
      <c r="B16" s="1" t="s">
        <v>67</v>
      </c>
      <c r="F16" s="32">
        <f>Application_Factor</f>
        <v>0.9</v>
      </c>
    </row>
    <row r="17" spans="2:21" ht="15" customHeight="1" x14ac:dyDescent="0.2">
      <c r="B17" s="1" t="s">
        <v>48</v>
      </c>
      <c r="F17" s="32">
        <f>F16/F15</f>
        <v>1</v>
      </c>
      <c r="G17" s="46"/>
    </row>
    <row r="18" spans="2:21" ht="15" customHeight="1" x14ac:dyDescent="0.2"/>
    <row r="19" spans="2:21" ht="15" x14ac:dyDescent="0.2">
      <c r="B19" s="154" t="s">
        <v>189</v>
      </c>
      <c r="C19" s="154"/>
      <c r="D19" s="154"/>
      <c r="E19" s="154"/>
      <c r="F19" s="154"/>
      <c r="G19" s="154"/>
      <c r="H19" s="154"/>
      <c r="I19" s="154"/>
      <c r="J19" s="154"/>
      <c r="K19" s="154"/>
      <c r="L19" s="154"/>
      <c r="M19" s="154"/>
      <c r="N19" s="154"/>
      <c r="O19" s="154"/>
      <c r="P19" s="154"/>
      <c r="Q19" s="154"/>
      <c r="R19" s="154"/>
      <c r="S19" s="154"/>
      <c r="T19" s="154"/>
      <c r="U19" s="154"/>
    </row>
    <row r="20" spans="2:21" ht="95.1" customHeight="1" x14ac:dyDescent="0.2">
      <c r="B20" s="88" t="s">
        <v>8</v>
      </c>
      <c r="C20" s="75" t="s">
        <v>108</v>
      </c>
      <c r="D20" s="88" t="s">
        <v>10</v>
      </c>
      <c r="E20" s="7" t="s">
        <v>171</v>
      </c>
      <c r="F20" s="8" t="s">
        <v>138</v>
      </c>
      <c r="G20" s="8" t="s">
        <v>139</v>
      </c>
      <c r="H20" s="8" t="s">
        <v>109</v>
      </c>
      <c r="I20" s="8" t="s">
        <v>140</v>
      </c>
      <c r="J20" s="8" t="s">
        <v>100</v>
      </c>
      <c r="K20" s="8" t="s">
        <v>141</v>
      </c>
      <c r="L20" s="8" t="s">
        <v>101</v>
      </c>
      <c r="M20" s="8" t="s">
        <v>142</v>
      </c>
      <c r="N20" s="7" t="s">
        <v>105</v>
      </c>
      <c r="O20" s="7" t="s">
        <v>104</v>
      </c>
      <c r="P20" s="7" t="s">
        <v>103</v>
      </c>
      <c r="Q20" s="7" t="s">
        <v>110</v>
      </c>
      <c r="R20" s="7" t="s">
        <v>58</v>
      </c>
      <c r="S20" s="7" t="s">
        <v>59</v>
      </c>
      <c r="T20" s="7" t="s">
        <v>60</v>
      </c>
      <c r="U20" s="7" t="s">
        <v>61</v>
      </c>
    </row>
    <row r="21" spans="2:21" ht="14.25" customHeight="1" x14ac:dyDescent="0.2">
      <c r="B21" s="78" t="s">
        <v>172</v>
      </c>
      <c r="C21" s="91" t="s">
        <v>11</v>
      </c>
      <c r="D21" s="78" t="str">
        <f t="shared" ref="D21:D37" si="0">Z_Compound_Name</f>
        <v>Zineb</v>
      </c>
      <c r="E21" s="49">
        <v>4180</v>
      </c>
      <c r="F21" s="79">
        <v>1.38320972397923E-2</v>
      </c>
      <c r="G21" s="79">
        <v>4.0682638820726402E-4</v>
      </c>
      <c r="H21" s="79">
        <v>7.0169703623908699E-6</v>
      </c>
      <c r="I21" s="79">
        <v>2.06381481356506E-7</v>
      </c>
      <c r="J21" s="126">
        <f t="shared" ref="J21:J37" si="1">((($E21/$O$6)*$F21)*Z_Leaching_Conversion_Factor*Application_Conversion_Factor)+Z_Background_SW_Freshwater</f>
        <v>1.8833278977958244E-2</v>
      </c>
      <c r="K21" s="126">
        <f t="shared" ref="K21:K37" si="2">((($E21/$O$6)*$G21)*Z_Leaching_Conversion_Factor*Application_Conversion_Factor)+Z_Background_Sed_Freshwater</f>
        <v>5.5391996830826175E-4</v>
      </c>
      <c r="L21" s="126">
        <f t="shared" ref="L21:L37" si="3">((($E21/$O$6)*$H21)*Z_Leaching_Conversion_Factor*Application_Conversion_Factor)+Z_Background_SW_Freshwater</f>
        <v>9.5540508517243769E-6</v>
      </c>
      <c r="M21" s="126">
        <f t="shared" ref="M21:M37" si="4">((($E21/$O$6)*$I21)*Z_Leaching_Conversion_Factor*Application_Conversion_Factor)+Z_Background_Sed_Freshwater</f>
        <v>2.8100149578833712E-7</v>
      </c>
      <c r="N21" s="159">
        <f>Z_PNEC_Aquatic_Inside</f>
        <v>0.219</v>
      </c>
      <c r="O21" s="159">
        <f>Z_PNEC_Sediment_Inside</f>
        <v>4.5499999999999999E-2</v>
      </c>
      <c r="P21" s="159">
        <f>Z_PNEC_Aquatic_Surrounding</f>
        <v>0.219</v>
      </c>
      <c r="Q21" s="159">
        <f>Z_PNEC_Sediment_Surrounding</f>
        <v>4.5499999999999999E-2</v>
      </c>
      <c r="R21" s="66">
        <f>$J21/Z_PNEC_Aquatic_Inside</f>
        <v>8.5996707661909796E-2</v>
      </c>
      <c r="S21" s="66">
        <f t="shared" ref="S21:S37" si="5">$K21/Z_PNEC_Sediment_Inside</f>
        <v>1.2174065237544215E-2</v>
      </c>
      <c r="T21" s="66">
        <f t="shared" ref="T21:T37" si="6">$L21/Z_PNEC_Aquatic_Surrounding</f>
        <v>4.3625802975910396E-5</v>
      </c>
      <c r="U21" s="66">
        <f t="shared" ref="U21:U37" si="7">$M21/Z_PNEC_Sediment_Surrounding</f>
        <v>6.1758570502931237E-6</v>
      </c>
    </row>
    <row r="22" spans="2:21" ht="14.25" customHeight="1" x14ac:dyDescent="0.2">
      <c r="B22" s="78" t="s">
        <v>173</v>
      </c>
      <c r="C22" s="91" t="s">
        <v>11</v>
      </c>
      <c r="D22" s="78" t="str">
        <f t="shared" si="0"/>
        <v>Zineb</v>
      </c>
      <c r="E22" s="49">
        <v>2888</v>
      </c>
      <c r="F22" s="79">
        <v>2.1795514207333298E-2</v>
      </c>
      <c r="G22" s="79">
        <v>5.5479489592835298E-3</v>
      </c>
      <c r="H22" s="79">
        <v>2.98008605483356E-5</v>
      </c>
      <c r="I22" s="79">
        <v>7.5856734251953102E-6</v>
      </c>
      <c r="J22" s="126">
        <f t="shared" si="1"/>
        <v>2.0503402290155886E-2</v>
      </c>
      <c r="K22" s="126">
        <f t="shared" si="2"/>
        <v>5.219047750622422E-3</v>
      </c>
      <c r="L22" s="126">
        <f t="shared" si="3"/>
        <v>2.8034164580974987E-5</v>
      </c>
      <c r="M22" s="126">
        <f t="shared" si="4"/>
        <v>7.1359690071544157E-6</v>
      </c>
      <c r="N22" s="159"/>
      <c r="O22" s="159"/>
      <c r="P22" s="159"/>
      <c r="Q22" s="159"/>
      <c r="R22" s="66">
        <f t="shared" ref="R22:R37" si="8">$J22/Z_PNEC_Aquatic_Inside</f>
        <v>9.3622841507561116E-2</v>
      </c>
      <c r="S22" s="66">
        <f t="shared" si="5"/>
        <v>0.11470434616752576</v>
      </c>
      <c r="T22" s="66">
        <f t="shared" si="6"/>
        <v>1.2800988393139263E-4</v>
      </c>
      <c r="U22" s="66">
        <f t="shared" si="7"/>
        <v>1.5683448367372342E-4</v>
      </c>
    </row>
    <row r="23" spans="2:21" ht="14.25" customHeight="1" x14ac:dyDescent="0.2">
      <c r="B23" s="78" t="s">
        <v>174</v>
      </c>
      <c r="C23" s="91" t="s">
        <v>11</v>
      </c>
      <c r="D23" s="78" t="str">
        <f t="shared" si="0"/>
        <v>Zineb</v>
      </c>
      <c r="E23" s="49">
        <v>9904</v>
      </c>
      <c r="F23" s="79">
        <v>5.6306755729019602E-3</v>
      </c>
      <c r="G23" s="79">
        <v>2.8358878381550298E-3</v>
      </c>
      <c r="H23" s="79">
        <v>1.0013214676481601E-6</v>
      </c>
      <c r="I23" s="79">
        <v>5.0431520865747596E-7</v>
      </c>
      <c r="J23" s="126">
        <f t="shared" si="1"/>
        <v>1.8164889535511732E-2</v>
      </c>
      <c r="K23" s="126">
        <f t="shared" si="2"/>
        <v>9.1487404394421552E-3</v>
      </c>
      <c r="L23" s="126">
        <f t="shared" si="3"/>
        <v>3.2303217640349765E-6</v>
      </c>
      <c r="M23" s="126">
        <f t="shared" si="4"/>
        <v>1.6269504320989062E-6</v>
      </c>
      <c r="N23" s="159"/>
      <c r="O23" s="159"/>
      <c r="P23" s="159"/>
      <c r="Q23" s="159"/>
      <c r="R23" s="66">
        <f t="shared" si="8"/>
        <v>8.2944701075396032E-2</v>
      </c>
      <c r="S23" s="66">
        <f t="shared" si="5"/>
        <v>0.20107121844927814</v>
      </c>
      <c r="T23" s="66">
        <f t="shared" si="6"/>
        <v>1.4750327689657426E-5</v>
      </c>
      <c r="U23" s="66">
        <f t="shared" si="7"/>
        <v>3.5757152353822114E-5</v>
      </c>
    </row>
    <row r="24" spans="2:21" ht="14.25" customHeight="1" x14ac:dyDescent="0.2">
      <c r="B24" s="78" t="s">
        <v>175</v>
      </c>
      <c r="C24" s="91" t="s">
        <v>11</v>
      </c>
      <c r="D24" s="78" t="str">
        <f t="shared" si="0"/>
        <v>Zineb</v>
      </c>
      <c r="E24" s="49">
        <v>31839</v>
      </c>
      <c r="F24" s="79">
        <v>4.0873880527215101E-4</v>
      </c>
      <c r="G24" s="79">
        <v>4.0873880527215101E-4</v>
      </c>
      <c r="H24" s="79">
        <v>1.26185491923282E-7</v>
      </c>
      <c r="I24" s="79">
        <v>1.26185491923282E-7</v>
      </c>
      <c r="J24" s="126">
        <f t="shared" si="1"/>
        <v>4.2390341436677574E-3</v>
      </c>
      <c r="K24" s="126">
        <f t="shared" si="2"/>
        <v>4.2390341436677574E-3</v>
      </c>
      <c r="L24" s="126">
        <f t="shared" si="3"/>
        <v>1.3086709698193406E-6</v>
      </c>
      <c r="M24" s="126">
        <f t="shared" si="4"/>
        <v>1.3086709698193406E-6</v>
      </c>
      <c r="N24" s="159"/>
      <c r="O24" s="159"/>
      <c r="P24" s="159"/>
      <c r="Q24" s="159"/>
      <c r="R24" s="66">
        <f t="shared" si="8"/>
        <v>1.9356320290720354E-2</v>
      </c>
      <c r="S24" s="66">
        <f t="shared" si="5"/>
        <v>9.3165585575115548E-2</v>
      </c>
      <c r="T24" s="66">
        <f t="shared" si="6"/>
        <v>5.9756665288554363E-6</v>
      </c>
      <c r="U24" s="66">
        <f t="shared" si="7"/>
        <v>2.8761999336688804E-5</v>
      </c>
    </row>
    <row r="25" spans="2:21" ht="14.25" customHeight="1" x14ac:dyDescent="0.2">
      <c r="B25" s="78" t="s">
        <v>176</v>
      </c>
      <c r="C25" s="91" t="s">
        <v>11</v>
      </c>
      <c r="D25" s="78" t="str">
        <f t="shared" si="0"/>
        <v>Zineb</v>
      </c>
      <c r="E25" s="49">
        <v>12360</v>
      </c>
      <c r="F25" s="79">
        <v>2.90227128134575E-4</v>
      </c>
      <c r="G25" s="79">
        <v>2.7760857134126102E-4</v>
      </c>
      <c r="H25" s="79">
        <v>2.38317091107276E-7</v>
      </c>
      <c r="I25" s="79">
        <v>2.2795549611005801E-7</v>
      </c>
      <c r="J25" s="126">
        <f t="shared" si="1"/>
        <v>1.168471434444087E-3</v>
      </c>
      <c r="K25" s="126">
        <f t="shared" si="2"/>
        <v>1.1176683849439695E-3</v>
      </c>
      <c r="L25" s="126">
        <f t="shared" si="3"/>
        <v>9.5947858178694824E-7</v>
      </c>
      <c r="M25" s="126">
        <f t="shared" si="4"/>
        <v>9.1776219280792087E-7</v>
      </c>
      <c r="N25" s="159"/>
      <c r="O25" s="159"/>
      <c r="P25" s="159"/>
      <c r="Q25" s="159"/>
      <c r="R25" s="66">
        <f t="shared" si="8"/>
        <v>5.3354860020277941E-3</v>
      </c>
      <c r="S25" s="66">
        <f t="shared" si="5"/>
        <v>2.4564140328438892E-2</v>
      </c>
      <c r="T25" s="66">
        <f t="shared" si="6"/>
        <v>4.3811807387531884E-6</v>
      </c>
      <c r="U25" s="66">
        <f t="shared" si="7"/>
        <v>2.017059764413013E-5</v>
      </c>
    </row>
    <row r="26" spans="2:21" ht="14.25" customHeight="1" x14ac:dyDescent="0.2">
      <c r="B26" s="78" t="s">
        <v>177</v>
      </c>
      <c r="C26" s="91" t="s">
        <v>11</v>
      </c>
      <c r="D26" s="78" t="str">
        <f t="shared" si="0"/>
        <v>Zineb</v>
      </c>
      <c r="E26" s="49">
        <v>12311</v>
      </c>
      <c r="F26" s="79">
        <v>8.8668357930146203E-4</v>
      </c>
      <c r="G26" s="79">
        <v>1.8591751868370901E-4</v>
      </c>
      <c r="H26" s="79">
        <v>1.47802980769441E-6</v>
      </c>
      <c r="I26" s="79">
        <v>3.0990946595950698E-7</v>
      </c>
      <c r="J26" s="126">
        <f t="shared" si="1"/>
        <v>3.5556877996027036E-3</v>
      </c>
      <c r="K26" s="126">
        <f t="shared" si="2"/>
        <v>7.4554741775737518E-4</v>
      </c>
      <c r="L26" s="126">
        <f t="shared" si="3"/>
        <v>5.9270439617348154E-6</v>
      </c>
      <c r="M26" s="126">
        <f t="shared" si="4"/>
        <v>1.2427672428102575E-6</v>
      </c>
      <c r="N26" s="159"/>
      <c r="O26" s="159"/>
      <c r="P26" s="159"/>
      <c r="Q26" s="159"/>
      <c r="R26" s="66">
        <f t="shared" si="8"/>
        <v>1.6236017349784033E-2</v>
      </c>
      <c r="S26" s="66">
        <f t="shared" si="5"/>
        <v>1.6385657533129126E-2</v>
      </c>
      <c r="T26" s="66">
        <f t="shared" si="6"/>
        <v>2.7064127679154406E-5</v>
      </c>
      <c r="U26" s="66">
        <f t="shared" si="7"/>
        <v>2.7313565776049614E-5</v>
      </c>
    </row>
    <row r="27" spans="2:21" ht="14.25" customHeight="1" x14ac:dyDescent="0.2">
      <c r="B27" s="78" t="s">
        <v>178</v>
      </c>
      <c r="C27" s="91" t="s">
        <v>11</v>
      </c>
      <c r="D27" s="78" t="str">
        <f t="shared" si="0"/>
        <v>Zineb</v>
      </c>
      <c r="E27" s="49">
        <v>1377</v>
      </c>
      <c r="F27" s="79">
        <v>5.8788448497653002E-2</v>
      </c>
      <c r="G27" s="79">
        <v>1.1305471364175901E-3</v>
      </c>
      <c r="H27" s="79">
        <v>1.777196228583E-4</v>
      </c>
      <c r="I27" s="79">
        <v>3.4176851694193501E-6</v>
      </c>
      <c r="J27" s="126">
        <f t="shared" si="1"/>
        <v>2.6368629831031984E-2</v>
      </c>
      <c r="K27" s="126">
        <f t="shared" si="2"/>
        <v>5.0708905760489303E-4</v>
      </c>
      <c r="L27" s="126">
        <f t="shared" si="3"/>
        <v>7.9713329210384079E-5</v>
      </c>
      <c r="M27" s="126">
        <f t="shared" si="4"/>
        <v>1.5329486899968878E-6</v>
      </c>
      <c r="N27" s="159"/>
      <c r="O27" s="159"/>
      <c r="P27" s="159"/>
      <c r="Q27" s="159"/>
      <c r="R27" s="66">
        <f t="shared" si="8"/>
        <v>0.12040470242480358</v>
      </c>
      <c r="S27" s="66">
        <f t="shared" si="5"/>
        <v>1.1144814452854793E-2</v>
      </c>
      <c r="T27" s="66">
        <f t="shared" si="6"/>
        <v>3.6398780461362591E-4</v>
      </c>
      <c r="U27" s="66">
        <f t="shared" si="7"/>
        <v>3.3691179999931599E-5</v>
      </c>
    </row>
    <row r="28" spans="2:21" ht="14.25" customHeight="1" x14ac:dyDescent="0.2">
      <c r="B28" s="78" t="s">
        <v>179</v>
      </c>
      <c r="C28" s="91" t="s">
        <v>11</v>
      </c>
      <c r="D28" s="78" t="str">
        <f t="shared" si="0"/>
        <v>Zineb</v>
      </c>
      <c r="E28" s="49">
        <v>1725</v>
      </c>
      <c r="F28" s="79">
        <v>6.3824641183018699E-2</v>
      </c>
      <c r="G28" s="79">
        <v>0.89354497611522699</v>
      </c>
      <c r="H28" s="79">
        <v>1.00561721455582E-4</v>
      </c>
      <c r="I28" s="79">
        <v>1.4078640957996E-3</v>
      </c>
      <c r="J28" s="126">
        <f t="shared" si="1"/>
        <v>3.5862379817819957E-2</v>
      </c>
      <c r="K28" s="126">
        <f t="shared" si="2"/>
        <v>0.50207331719829529</v>
      </c>
      <c r="L28" s="126">
        <f t="shared" si="3"/>
        <v>5.6504550329276534E-5</v>
      </c>
      <c r="M28" s="126">
        <f t="shared" si="4"/>
        <v>7.910637020372346E-4</v>
      </c>
      <c r="N28" s="159"/>
      <c r="O28" s="159"/>
      <c r="P28" s="159"/>
      <c r="Q28" s="159"/>
      <c r="R28" s="66">
        <f t="shared" si="8"/>
        <v>0.16375515898547927</v>
      </c>
      <c r="S28" s="66">
        <f t="shared" si="5"/>
        <v>11.034578399962534</v>
      </c>
      <c r="T28" s="66">
        <f t="shared" si="6"/>
        <v>2.5801164533916226E-4</v>
      </c>
      <c r="U28" s="66">
        <f t="shared" si="7"/>
        <v>1.7386015429389771E-2</v>
      </c>
    </row>
    <row r="29" spans="2:21" ht="14.25" customHeight="1" x14ac:dyDescent="0.2">
      <c r="B29" s="78" t="s">
        <v>180</v>
      </c>
      <c r="C29" s="91" t="s">
        <v>11</v>
      </c>
      <c r="D29" s="78" t="str">
        <f t="shared" si="0"/>
        <v>Zineb</v>
      </c>
      <c r="E29" s="49">
        <v>9402</v>
      </c>
      <c r="F29" s="79">
        <v>1.80183729040436E-3</v>
      </c>
      <c r="G29" s="79">
        <v>2.8450063982745602E-4</v>
      </c>
      <c r="H29" s="79">
        <v>4.89680982356836E-6</v>
      </c>
      <c r="I29" s="79">
        <v>7.7318054304205604E-7</v>
      </c>
      <c r="J29" s="126">
        <f t="shared" si="1"/>
        <v>5.5182000665738732E-3</v>
      </c>
      <c r="K29" s="126">
        <f t="shared" si="2"/>
        <v>8.7129479337385717E-4</v>
      </c>
      <c r="L29" s="126">
        <f t="shared" si="3"/>
        <v>1.4996679466185576E-5</v>
      </c>
      <c r="M29" s="126">
        <f t="shared" si="4"/>
        <v>2.3678968943587657E-6</v>
      </c>
      <c r="N29" s="159"/>
      <c r="O29" s="159"/>
      <c r="P29" s="159"/>
      <c r="Q29" s="159"/>
      <c r="R29" s="66">
        <f t="shared" si="8"/>
        <v>2.5197260577962892E-2</v>
      </c>
      <c r="S29" s="66">
        <f t="shared" si="5"/>
        <v>1.9149336118106753E-2</v>
      </c>
      <c r="T29" s="66">
        <f t="shared" si="6"/>
        <v>6.8477988430071124E-5</v>
      </c>
      <c r="U29" s="66">
        <f t="shared" si="7"/>
        <v>5.2041689985906937E-5</v>
      </c>
    </row>
    <row r="30" spans="2:21" ht="14.25" customHeight="1" x14ac:dyDescent="0.2">
      <c r="B30" s="78" t="s">
        <v>181</v>
      </c>
      <c r="C30" s="91" t="s">
        <v>11</v>
      </c>
      <c r="D30" s="78" t="str">
        <f t="shared" si="0"/>
        <v>Zineb</v>
      </c>
      <c r="E30" s="49">
        <v>2818</v>
      </c>
      <c r="F30" s="79">
        <v>1.6573555301874899E-3</v>
      </c>
      <c r="G30" s="79">
        <v>3.9460849839088003E-5</v>
      </c>
      <c r="H30" s="79">
        <v>5.7766749065805296E-6</v>
      </c>
      <c r="I30" s="79">
        <v>1.3753989244141201E-7</v>
      </c>
      <c r="J30" s="126">
        <f t="shared" si="1"/>
        <v>1.5213120143545103E-3</v>
      </c>
      <c r="K30" s="126">
        <f t="shared" si="2"/>
        <v>3.622171819105863E-5</v>
      </c>
      <c r="L30" s="126">
        <f t="shared" si="3"/>
        <v>5.3024983344442778E-6</v>
      </c>
      <c r="M30" s="126">
        <f t="shared" si="4"/>
        <v>1.2624997293156322E-7</v>
      </c>
      <c r="N30" s="159"/>
      <c r="O30" s="159"/>
      <c r="P30" s="159"/>
      <c r="Q30" s="159"/>
      <c r="R30" s="66">
        <f t="shared" si="8"/>
        <v>6.9466302025320108E-3</v>
      </c>
      <c r="S30" s="66">
        <f t="shared" si="5"/>
        <v>7.960817184848051E-4</v>
      </c>
      <c r="T30" s="66">
        <f t="shared" si="6"/>
        <v>2.4212321161846017E-5</v>
      </c>
      <c r="U30" s="66">
        <f t="shared" si="7"/>
        <v>2.7747246798145765E-6</v>
      </c>
    </row>
    <row r="31" spans="2:21" ht="14.25" customHeight="1" x14ac:dyDescent="0.2">
      <c r="B31" s="78" t="s">
        <v>182</v>
      </c>
      <c r="C31" s="91" t="s">
        <v>11</v>
      </c>
      <c r="D31" s="78" t="str">
        <f t="shared" si="0"/>
        <v>Zineb</v>
      </c>
      <c r="E31" s="49">
        <v>7529</v>
      </c>
      <c r="F31" s="79">
        <v>1.3513743858784399E-2</v>
      </c>
      <c r="G31" s="79">
        <v>2.8586768289096702E-3</v>
      </c>
      <c r="H31" s="79">
        <v>1.2513378130523601E-5</v>
      </c>
      <c r="I31" s="79">
        <v>2.64706097500301E-6</v>
      </c>
      <c r="J31" s="126">
        <f t="shared" si="1"/>
        <v>3.3141686486250078E-2</v>
      </c>
      <c r="K31" s="126">
        <f t="shared" si="2"/>
        <v>7.0107419690100675E-3</v>
      </c>
      <c r="L31" s="126">
        <f t="shared" si="3"/>
        <v>3.0688346561795505E-5</v>
      </c>
      <c r="M31" s="126">
        <f t="shared" si="4"/>
        <v>6.4917661500969587E-6</v>
      </c>
      <c r="N31" s="159"/>
      <c r="O31" s="159"/>
      <c r="P31" s="159"/>
      <c r="Q31" s="159"/>
      <c r="R31" s="66">
        <f t="shared" si="8"/>
        <v>0.15133190176369898</v>
      </c>
      <c r="S31" s="66">
        <f t="shared" si="5"/>
        <v>0.15408224107714436</v>
      </c>
      <c r="T31" s="66">
        <f t="shared" si="6"/>
        <v>1.4012943635523061E-4</v>
      </c>
      <c r="U31" s="66">
        <f t="shared" si="7"/>
        <v>1.4267617912301007E-4</v>
      </c>
    </row>
    <row r="32" spans="2:21" ht="14.25" customHeight="1" x14ac:dyDescent="0.2">
      <c r="B32" s="78" t="s">
        <v>183</v>
      </c>
      <c r="C32" s="91" t="s">
        <v>11</v>
      </c>
      <c r="D32" s="78" t="str">
        <f t="shared" si="0"/>
        <v>Zineb</v>
      </c>
      <c r="E32" s="49">
        <v>2825</v>
      </c>
      <c r="F32" s="79">
        <v>6.2146151959896097E-2</v>
      </c>
      <c r="G32" s="79">
        <v>5.6496503436937904E-3</v>
      </c>
      <c r="H32" s="79">
        <v>1.3652078820030101E-4</v>
      </c>
      <c r="I32" s="79">
        <v>1.24109810636478E-5</v>
      </c>
      <c r="J32" s="126">
        <f t="shared" si="1"/>
        <v>5.7186605630849013E-2</v>
      </c>
      <c r="K32" s="126">
        <f t="shared" si="2"/>
        <v>5.1987824823892369E-3</v>
      </c>
      <c r="L32" s="126">
        <f t="shared" si="3"/>
        <v>1.2562580673154735E-4</v>
      </c>
      <c r="M32" s="126">
        <f t="shared" si="4"/>
        <v>1.1420528177460924E-5</v>
      </c>
      <c r="N32" s="159"/>
      <c r="O32" s="159"/>
      <c r="P32" s="159"/>
      <c r="Q32" s="159"/>
      <c r="R32" s="66">
        <f t="shared" si="8"/>
        <v>0.26112605310889958</v>
      </c>
      <c r="S32" s="66">
        <f t="shared" si="5"/>
        <v>0.11425895565690632</v>
      </c>
      <c r="T32" s="66">
        <f t="shared" si="6"/>
        <v>5.7363382069199704E-4</v>
      </c>
      <c r="U32" s="66">
        <f t="shared" si="7"/>
        <v>2.5100061928485547E-4</v>
      </c>
    </row>
    <row r="33" spans="1:21" ht="14.25" customHeight="1" x14ac:dyDescent="0.2">
      <c r="B33" s="78" t="s">
        <v>184</v>
      </c>
      <c r="C33" s="91" t="s">
        <v>11</v>
      </c>
      <c r="D33" s="78" t="str">
        <f t="shared" si="0"/>
        <v>Zineb</v>
      </c>
      <c r="E33" s="49">
        <v>726</v>
      </c>
      <c r="F33" s="79">
        <v>0.18915955871343601</v>
      </c>
      <c r="G33" s="79">
        <v>5.9112362414598503E-2</v>
      </c>
      <c r="H33" s="79">
        <v>3.0790124636278002E-4</v>
      </c>
      <c r="I33" s="79">
        <v>9.6219139534020997E-5</v>
      </c>
      <c r="J33" s="126">
        <f t="shared" si="1"/>
        <v>4.4732846783698543E-2</v>
      </c>
      <c r="K33" s="126">
        <f t="shared" si="2"/>
        <v>1.3979014694787789E-2</v>
      </c>
      <c r="L33" s="126">
        <f t="shared" si="3"/>
        <v>7.2813128618689994E-5</v>
      </c>
      <c r="M33" s="126">
        <f t="shared" si="4"/>
        <v>2.275410270413656E-5</v>
      </c>
      <c r="N33" s="159"/>
      <c r="O33" s="159"/>
      <c r="P33" s="159"/>
      <c r="Q33" s="159"/>
      <c r="R33" s="66">
        <f t="shared" si="8"/>
        <v>0.20425957435478787</v>
      </c>
      <c r="S33" s="66">
        <f t="shared" si="5"/>
        <v>0.30723109219313821</v>
      </c>
      <c r="T33" s="66">
        <f t="shared" si="6"/>
        <v>3.3248003935474886E-4</v>
      </c>
      <c r="U33" s="66">
        <f t="shared" si="7"/>
        <v>5.0009016932168267E-4</v>
      </c>
    </row>
    <row r="34" spans="1:21" ht="14.25" customHeight="1" x14ac:dyDescent="0.2">
      <c r="B34" s="78" t="s">
        <v>185</v>
      </c>
      <c r="C34" s="91" t="s">
        <v>11</v>
      </c>
      <c r="D34" s="78" t="str">
        <f t="shared" si="0"/>
        <v>Zineb</v>
      </c>
      <c r="E34" s="49">
        <v>4138</v>
      </c>
      <c r="F34" s="79">
        <v>9.0914254635572397E-3</v>
      </c>
      <c r="G34" s="79">
        <v>1.01015840991749E-4</v>
      </c>
      <c r="H34" s="79">
        <v>8.0806181641281506E-6</v>
      </c>
      <c r="I34" s="79">
        <v>8.9784648434382795E-8</v>
      </c>
      <c r="J34" s="126">
        <f t="shared" si="1"/>
        <v>1.2254175429381063E-2</v>
      </c>
      <c r="K34" s="126">
        <f t="shared" si="2"/>
        <v>1.3615750815109361E-4</v>
      </c>
      <c r="L34" s="126">
        <f t="shared" si="3"/>
        <v>1.0891725720899768E-5</v>
      </c>
      <c r="M34" s="126">
        <f t="shared" si="4"/>
        <v>1.2101917759657199E-7</v>
      </c>
      <c r="N34" s="159"/>
      <c r="O34" s="159"/>
      <c r="P34" s="159"/>
      <c r="Q34" s="159"/>
      <c r="R34" s="66">
        <f t="shared" si="8"/>
        <v>5.5955138946945489E-2</v>
      </c>
      <c r="S34" s="66">
        <f t="shared" si="5"/>
        <v>2.992472706617442E-3</v>
      </c>
      <c r="T34" s="66">
        <f t="shared" si="6"/>
        <v>4.9733907401368806E-5</v>
      </c>
      <c r="U34" s="66">
        <f t="shared" si="7"/>
        <v>2.659762144979604E-6</v>
      </c>
    </row>
    <row r="35" spans="1:21" ht="14.25" customHeight="1" x14ac:dyDescent="0.2">
      <c r="B35" s="78" t="s">
        <v>186</v>
      </c>
      <c r="C35" s="91" t="s">
        <v>11</v>
      </c>
      <c r="D35" s="78" t="str">
        <f t="shared" si="0"/>
        <v>Zineb</v>
      </c>
      <c r="E35" s="49">
        <v>1268</v>
      </c>
      <c r="F35" s="79">
        <v>0.145831018686295</v>
      </c>
      <c r="G35" s="79">
        <v>4.0832684049382801E-3</v>
      </c>
      <c r="H35" s="79">
        <v>4.8557258513775398E-5</v>
      </c>
      <c r="I35" s="79">
        <v>1.3596031883408901E-6</v>
      </c>
      <c r="J35" s="126">
        <f t="shared" si="1"/>
        <v>6.02324858938834E-2</v>
      </c>
      <c r="K35" s="126">
        <f t="shared" si="2"/>
        <v>1.6865095561764622E-3</v>
      </c>
      <c r="L35" s="126">
        <f t="shared" si="3"/>
        <v>2.0055571268881826E-5</v>
      </c>
      <c r="M35" s="126">
        <f t="shared" si="4"/>
        <v>5.6155597485871291E-7</v>
      </c>
      <c r="N35" s="159"/>
      <c r="O35" s="159"/>
      <c r="P35" s="159"/>
      <c r="Q35" s="159"/>
      <c r="R35" s="66">
        <f t="shared" si="8"/>
        <v>0.27503418216385112</v>
      </c>
      <c r="S35" s="66">
        <f t="shared" si="5"/>
        <v>3.7066144091790376E-2</v>
      </c>
      <c r="T35" s="66">
        <f t="shared" si="6"/>
        <v>9.1577950999460395E-5</v>
      </c>
      <c r="U35" s="66">
        <f t="shared" si="7"/>
        <v>1.234188955733435E-5</v>
      </c>
    </row>
    <row r="36" spans="1:21" ht="14.25" customHeight="1" x14ac:dyDescent="0.2">
      <c r="B36" s="78" t="s">
        <v>187</v>
      </c>
      <c r="C36" s="91" t="s">
        <v>11</v>
      </c>
      <c r="D36" s="78" t="str">
        <f t="shared" si="0"/>
        <v>Zineb</v>
      </c>
      <c r="E36" s="49">
        <v>5293</v>
      </c>
      <c r="F36" s="79">
        <v>2.7574899736791801E-2</v>
      </c>
      <c r="G36" s="79">
        <v>2.9196950816549401E-3</v>
      </c>
      <c r="H36" s="79">
        <v>1.01890377794272E-5</v>
      </c>
      <c r="I36" s="79">
        <v>1.0788392395368301E-6</v>
      </c>
      <c r="J36" s="126">
        <f t="shared" si="1"/>
        <v>4.7542001402879154E-2</v>
      </c>
      <c r="K36" s="126">
        <f t="shared" si="2"/>
        <v>5.0338586538109442E-3</v>
      </c>
      <c r="L36" s="126">
        <f t="shared" si="3"/>
        <v>1.7566963181273021E-5</v>
      </c>
      <c r="M36" s="126">
        <f t="shared" si="4"/>
        <v>1.8600313012600788E-6</v>
      </c>
      <c r="N36" s="159"/>
      <c r="O36" s="159"/>
      <c r="P36" s="159"/>
      <c r="Q36" s="159"/>
      <c r="R36" s="66">
        <f t="shared" si="8"/>
        <v>0.21708676439670846</v>
      </c>
      <c r="S36" s="66">
        <f t="shared" si="5"/>
        <v>0.11063425612771306</v>
      </c>
      <c r="T36" s="66">
        <f t="shared" si="6"/>
        <v>8.0214443750105117E-5</v>
      </c>
      <c r="U36" s="66">
        <f t="shared" si="7"/>
        <v>4.087980881890283E-5</v>
      </c>
    </row>
    <row r="37" spans="1:21" ht="14.25" customHeight="1" x14ac:dyDescent="0.2">
      <c r="B37" s="78" t="s">
        <v>188</v>
      </c>
      <c r="C37" s="91" t="s">
        <v>11</v>
      </c>
      <c r="D37" s="78" t="str">
        <f t="shared" si="0"/>
        <v>Zineb</v>
      </c>
      <c r="E37" s="49">
        <v>5285</v>
      </c>
      <c r="F37" s="79">
        <v>1.7404012540355299E-2</v>
      </c>
      <c r="G37" s="79">
        <v>3.48080256022513E-3</v>
      </c>
      <c r="H37" s="79">
        <v>8.97907228326642E-5</v>
      </c>
      <c r="I37" s="79">
        <v>1.7958144882146099E-5</v>
      </c>
      <c r="J37" s="126">
        <f t="shared" si="1"/>
        <v>2.9960979242924353E-2</v>
      </c>
      <c r="K37" s="126">
        <f t="shared" si="2"/>
        <v>5.9921959383680175E-3</v>
      </c>
      <c r="L37" s="126">
        <f t="shared" si="3"/>
        <v>1.5457458311746915E-4</v>
      </c>
      <c r="M37" s="126">
        <f t="shared" si="4"/>
        <v>3.0914917166821544E-5</v>
      </c>
      <c r="N37" s="159"/>
      <c r="O37" s="159"/>
      <c r="P37" s="159"/>
      <c r="Q37" s="159"/>
      <c r="R37" s="66">
        <f t="shared" si="8"/>
        <v>0.13680812439691487</v>
      </c>
      <c r="S37" s="66">
        <f t="shared" si="5"/>
        <v>0.13169661403006633</v>
      </c>
      <c r="T37" s="66">
        <f t="shared" si="6"/>
        <v>7.0582001423501889E-4</v>
      </c>
      <c r="U37" s="66">
        <f t="shared" si="7"/>
        <v>6.7944872894113285E-4</v>
      </c>
    </row>
    <row r="38" spans="1:21" x14ac:dyDescent="0.2">
      <c r="B38" s="156" t="s">
        <v>160</v>
      </c>
      <c r="C38" s="156"/>
      <c r="D38" s="156"/>
      <c r="E38" s="129"/>
      <c r="F38" s="129"/>
      <c r="G38" s="129"/>
      <c r="H38" s="129"/>
      <c r="I38" s="129"/>
      <c r="J38" s="67">
        <f>MEDIAN($J$21:$J$37)</f>
        <v>2.0503402290155886E-2</v>
      </c>
      <c r="K38" s="67">
        <f>MEDIAN($K$21:$K$37)</f>
        <v>4.2390341436677574E-3</v>
      </c>
      <c r="L38" s="67">
        <f>MEDIAN($L$21:$L$37)</f>
        <v>1.7566963181273021E-5</v>
      </c>
      <c r="M38" s="67">
        <f>MEDIAN($M$21:$M$37)</f>
        <v>1.6269504320989062E-6</v>
      </c>
      <c r="N38" s="67"/>
      <c r="O38" s="67"/>
      <c r="P38" s="67"/>
      <c r="Q38" s="67"/>
      <c r="R38" s="67">
        <f>MEDIAN($R$21:$R$37)</f>
        <v>9.3622841507561116E-2</v>
      </c>
      <c r="S38" s="67">
        <f>MEDIAN($S$21:$S$37)</f>
        <v>9.3165585575115548E-2</v>
      </c>
      <c r="T38" s="67">
        <f>MEDIAN($T$21:$T$37)</f>
        <v>8.0214443750105117E-5</v>
      </c>
      <c r="U38" s="67">
        <f>MEDIAN($U$21:$U$37)</f>
        <v>3.5757152353822114E-5</v>
      </c>
    </row>
    <row r="39" spans="1:21" x14ac:dyDescent="0.2">
      <c r="B39" s="156" t="s">
        <v>159</v>
      </c>
      <c r="C39" s="156"/>
      <c r="D39" s="156"/>
      <c r="E39" s="125"/>
      <c r="F39" s="125"/>
      <c r="G39" s="125"/>
      <c r="H39" s="125"/>
      <c r="I39" s="125"/>
      <c r="J39" s="67">
        <f>AVERAGE($J$21:$J$37)</f>
        <v>2.4752121575352139E-2</v>
      </c>
      <c r="K39" s="67">
        <f>AVERAGE($K$21:$K$37)</f>
        <v>3.3149949510288275E-2</v>
      </c>
      <c r="L39" s="67">
        <f>AVERAGE($L$21:$L$37)</f>
        <v>3.7514524308877795E-5</v>
      </c>
      <c r="M39" s="67">
        <f>AVERAGE($M$21:$M$37)</f>
        <v>5.1866343505131323E-5</v>
      </c>
      <c r="N39" s="67"/>
      <c r="O39" s="67"/>
      <c r="P39" s="67"/>
      <c r="Q39" s="67"/>
      <c r="R39" s="67">
        <f>AVERAGE($R$21:$R$37)</f>
        <v>0.11302338618882254</v>
      </c>
      <c r="S39" s="67">
        <f>AVERAGE($S$21:$S$37)</f>
        <v>0.72857031890743462</v>
      </c>
      <c r="T39" s="67">
        <f>AVERAGE($T$21:$T$37)</f>
        <v>1.7129919775743283E-4</v>
      </c>
      <c r="U39" s="67">
        <f>AVERAGE($U$21:$U$37)</f>
        <v>1.1399196374754133E-3</v>
      </c>
    </row>
    <row r="40" spans="1:21" x14ac:dyDescent="0.2">
      <c r="B40" s="156" t="s">
        <v>12</v>
      </c>
      <c r="C40" s="156"/>
      <c r="D40" s="156"/>
      <c r="E40" s="125"/>
      <c r="F40" s="125"/>
      <c r="G40" s="125"/>
      <c r="H40" s="125"/>
      <c r="I40" s="125"/>
      <c r="J40" s="67">
        <f>MAX($J$21:$J$37)</f>
        <v>6.02324858938834E-2</v>
      </c>
      <c r="K40" s="67">
        <f>MAX($K$21:$K$37)</f>
        <v>0.50207331719829529</v>
      </c>
      <c r="L40" s="67">
        <f>MAX($L$21:$L$37)</f>
        <v>1.5457458311746915E-4</v>
      </c>
      <c r="M40" s="67">
        <f>MAX($M$21:$M$37)</f>
        <v>7.910637020372346E-4</v>
      </c>
      <c r="N40" s="67"/>
      <c r="O40" s="67"/>
      <c r="P40" s="67"/>
      <c r="Q40" s="67"/>
      <c r="R40" s="67">
        <f>MAX($R$21:$R$37)</f>
        <v>0.27503418216385112</v>
      </c>
      <c r="S40" s="67">
        <f>MAX($S$21:$S$37)</f>
        <v>11.034578399962534</v>
      </c>
      <c r="T40" s="67">
        <f>MAX($T$21:$T$37)</f>
        <v>7.0582001423501889E-4</v>
      </c>
      <c r="U40" s="67">
        <f>MAX($U$21:$U$37)</f>
        <v>1.7386015429389771E-2</v>
      </c>
    </row>
    <row r="41" spans="1:21" x14ac:dyDescent="0.2">
      <c r="B41" s="156" t="s">
        <v>13</v>
      </c>
      <c r="C41" s="156"/>
      <c r="D41" s="156"/>
      <c r="E41" s="125"/>
      <c r="F41" s="125"/>
      <c r="G41" s="125"/>
      <c r="H41" s="125"/>
      <c r="I41" s="125"/>
      <c r="J41" s="67">
        <f>MIN($J$21:$J$37)</f>
        <v>1.168471434444087E-3</v>
      </c>
      <c r="K41" s="67">
        <f>MIN($K$21:$K$37)</f>
        <v>3.622171819105863E-5</v>
      </c>
      <c r="L41" s="67">
        <f>MIN($L$21:$L$37)</f>
        <v>9.5947858178694824E-7</v>
      </c>
      <c r="M41" s="67">
        <f>MIN($M$21:$M$37)</f>
        <v>1.2101917759657199E-7</v>
      </c>
      <c r="N41" s="67"/>
      <c r="O41" s="67"/>
      <c r="P41" s="67"/>
      <c r="Q41" s="67"/>
      <c r="R41" s="67">
        <f>MIN($R$21:$R$37)</f>
        <v>5.3354860020277941E-3</v>
      </c>
      <c r="S41" s="67">
        <f>MIN($S$21:$S$37)</f>
        <v>7.960817184848051E-4</v>
      </c>
      <c r="T41" s="67">
        <f>MIN($T$21:$T$37)</f>
        <v>4.3811807387531884E-6</v>
      </c>
      <c r="U41" s="67">
        <f>MIN($U$21:$U$37)</f>
        <v>2.659762144979604E-6</v>
      </c>
    </row>
    <row r="42" spans="1:21" x14ac:dyDescent="0.2">
      <c r="A42" s="74"/>
      <c r="B42" s="12"/>
      <c r="C42" s="12"/>
      <c r="D42" s="125" t="s">
        <v>84</v>
      </c>
      <c r="E42" s="12"/>
      <c r="F42" s="12"/>
      <c r="G42" s="12"/>
      <c r="H42" s="12"/>
      <c r="I42" s="12"/>
      <c r="J42" s="67">
        <f>_xlfn.PERCENTILE.INC(J$21:J$37,0.9)</f>
        <v>5.1399843094067102E-2</v>
      </c>
      <c r="K42" s="67">
        <f>_xlfn.PERCENTILE.INC(K$21:K$37,0.9)</f>
        <v>1.108085014158041E-2</v>
      </c>
      <c r="L42" s="67">
        <f>_xlfn.PERCENTILE.INC(L$21:L$37,0.9)</f>
        <v>9.8078320218849407E-5</v>
      </c>
      <c r="M42" s="67">
        <f>_xlfn.PERCENTILE.INC(M$21:M$37,0.9)</f>
        <v>2.6018428489210558E-5</v>
      </c>
      <c r="N42" s="67"/>
      <c r="O42" s="67"/>
      <c r="P42" s="67"/>
      <c r="Q42" s="67"/>
      <c r="R42" s="67">
        <f>_xlfn.PERCENTILE.INC(R$21:R$37,0.9)</f>
        <v>0.23470247988158494</v>
      </c>
      <c r="S42" s="67">
        <f>_xlfn.PERCENTILE.INC(S$21:S$37,0.9)</f>
        <v>0.2435351679468222</v>
      </c>
      <c r="T42" s="67">
        <f>_xlfn.PERCENTILE.INC(T$21:T$37,0.9)</f>
        <v>4.4784621104497442E-4</v>
      </c>
      <c r="U42" s="67">
        <f>_xlfn.PERCENTILE.INC(U$21:U$37,0.9)</f>
        <v>5.7183359316946277E-4</v>
      </c>
    </row>
    <row r="43" spans="1:21" x14ac:dyDescent="0.2">
      <c r="B43" s="12"/>
      <c r="C43" s="12"/>
      <c r="D43" s="125" t="s">
        <v>85</v>
      </c>
      <c r="E43" s="12"/>
      <c r="F43" s="12"/>
      <c r="G43" s="12"/>
      <c r="H43" s="12"/>
      <c r="I43" s="12"/>
      <c r="J43" s="67">
        <f>_xlfn.PERCENTILE.INC(J$21:J$37,0.8)</f>
        <v>4.2958753390522832E-2</v>
      </c>
      <c r="K43" s="67">
        <f>_xlfn.PERCENTILE.INC(K$21:K$37,0.8)</f>
        <v>6.8070327628816582E-3</v>
      </c>
      <c r="L43" s="67">
        <f>_xlfn.PERCENTILE.INC(L$21:L$37,0.8)</f>
        <v>6.9551412960807313E-5</v>
      </c>
      <c r="M43" s="67">
        <f>_xlfn.PERCENTILE.INC(M$21:M$37,0.8)</f>
        <v>1.0563616343399626E-5</v>
      </c>
      <c r="N43" s="67"/>
      <c r="O43" s="67"/>
      <c r="P43" s="67"/>
      <c r="Q43" s="67"/>
      <c r="R43" s="67">
        <f>_xlfn.PERCENTILE.INC(R$21:R$37,0.8)</f>
        <v>0.19615869128092617</v>
      </c>
      <c r="S43" s="67">
        <f>_xlfn.PERCENTILE.INC(S$21:S$37,0.8)</f>
        <v>0.14960511566772877</v>
      </c>
      <c r="T43" s="67">
        <f>_xlfn.PERCENTILE.INC(T$21:T$37,0.8)</f>
        <v>3.1758636055163159E-4</v>
      </c>
      <c r="U43" s="67">
        <f>_xlfn.PERCENTILE.INC(U$21:U$37,0.8)</f>
        <v>2.3216739216262911E-4</v>
      </c>
    </row>
    <row r="44" spans="1:21" x14ac:dyDescent="0.2">
      <c r="B44" s="12"/>
      <c r="C44" s="12"/>
      <c r="D44" s="125" t="s">
        <v>86</v>
      </c>
      <c r="E44" s="12"/>
      <c r="F44" s="12"/>
      <c r="G44" s="12"/>
      <c r="H44" s="12"/>
      <c r="I44" s="12"/>
      <c r="J44" s="67">
        <f>_xlfn.PERCENTILE.INC(J$21:J$37,0.75)</f>
        <v>3.5862379817819957E-2</v>
      </c>
      <c r="K44" s="67">
        <f>_xlfn.PERCENTILE.INC(K$21:K$37,0.75)</f>
        <v>5.9921959383680175E-3</v>
      </c>
      <c r="L44" s="67">
        <f>_xlfn.PERCENTILE.INC(L$21:L$37,0.75)</f>
        <v>5.6504550329276534E-5</v>
      </c>
      <c r="M44" s="67">
        <f>_xlfn.PERCENTILE.INC(M$21:M$37,0.75)</f>
        <v>7.1359690071544157E-6</v>
      </c>
      <c r="N44" s="67"/>
      <c r="O44" s="67"/>
      <c r="P44" s="67"/>
      <c r="Q44" s="67"/>
      <c r="R44" s="67">
        <f>_xlfn.PERCENTILE.INC(R$21:R$37,0.75)</f>
        <v>0.16375515898547927</v>
      </c>
      <c r="S44" s="67">
        <f>_xlfn.PERCENTILE.INC(S$21:S$37,0.75)</f>
        <v>0.13169661403006633</v>
      </c>
      <c r="T44" s="67">
        <f>_xlfn.PERCENTILE.INC(T$21:T$37,0.75)</f>
        <v>2.5801164533916226E-4</v>
      </c>
      <c r="U44" s="67">
        <f>_xlfn.PERCENTILE.INC(U$21:U$37,0.75)</f>
        <v>1.5683448367372342E-4</v>
      </c>
    </row>
    <row r="45" spans="1:21" x14ac:dyDescent="0.2">
      <c r="B45" s="12"/>
      <c r="C45" s="12"/>
      <c r="D45" s="125" t="s">
        <v>87</v>
      </c>
      <c r="E45" s="12"/>
      <c r="F45" s="12"/>
      <c r="G45" s="12"/>
      <c r="H45" s="12"/>
      <c r="I45" s="12"/>
      <c r="J45" s="67">
        <f>_xlfn.PERCENTILE.INC(J$21:J$37,0.5)</f>
        <v>2.0503402290155886E-2</v>
      </c>
      <c r="K45" s="67">
        <f>_xlfn.PERCENTILE.INC(K$21:K$37,0.5)</f>
        <v>4.2390341436677574E-3</v>
      </c>
      <c r="L45" s="67">
        <f>_xlfn.PERCENTILE.INC(L$21:L$37,0.5)</f>
        <v>1.7566963181273021E-5</v>
      </c>
      <c r="M45" s="67">
        <f>_xlfn.PERCENTILE.INC(M$21:M$37,0.5)</f>
        <v>1.6269504320989062E-6</v>
      </c>
      <c r="N45" s="67"/>
      <c r="O45" s="67"/>
      <c r="P45" s="67"/>
      <c r="Q45" s="67"/>
      <c r="R45" s="67">
        <f>_xlfn.PERCENTILE.INC(R$21:R$37,0.5)</f>
        <v>9.3622841507561116E-2</v>
      </c>
      <c r="S45" s="67">
        <f>_xlfn.PERCENTILE.INC(S$21:S$37,0.5)</f>
        <v>9.3165585575115548E-2</v>
      </c>
      <c r="T45" s="67">
        <f>_xlfn.PERCENTILE.INC(T$21:T$37,0.5)</f>
        <v>8.0214443750105117E-5</v>
      </c>
      <c r="U45" s="67">
        <f>_xlfn.PERCENTILE.INC(U$21:U$37,0.5)</f>
        <v>3.5757152353822114E-5</v>
      </c>
    </row>
    <row r="46" spans="1:21" x14ac:dyDescent="0.2">
      <c r="B46" s="12"/>
      <c r="C46" s="12"/>
      <c r="D46" s="125" t="s">
        <v>88</v>
      </c>
      <c r="E46" s="12"/>
      <c r="F46" s="12"/>
      <c r="G46" s="12"/>
      <c r="H46" s="12"/>
      <c r="I46" s="12"/>
      <c r="J46" s="67">
        <f>_xlfn.PERCENTILE.INC(J$21:J$37,0.25)</f>
        <v>5.5182000665738732E-3</v>
      </c>
      <c r="K46" s="67">
        <f>_xlfn.PERCENTILE.INC(K$21:K$37,0.25)</f>
        <v>7.4554741775737518E-4</v>
      </c>
      <c r="L46" s="67">
        <f>_xlfn.PERCENTILE.INC(L$21:L$37,0.25)</f>
        <v>5.9270439617348154E-6</v>
      </c>
      <c r="M46" s="67">
        <f>_xlfn.PERCENTILE.INC(M$21:M$37,0.25)</f>
        <v>9.1776219280792087E-7</v>
      </c>
      <c r="N46" s="67"/>
      <c r="O46" s="67"/>
      <c r="P46" s="67"/>
      <c r="Q46" s="67"/>
      <c r="R46" s="67">
        <f>_xlfn.PERCENTILE.INC(R$21:R$37,0.25)</f>
        <v>2.5197260577962892E-2</v>
      </c>
      <c r="S46" s="67">
        <f>_xlfn.PERCENTILE.INC(S$21:S$37,0.25)</f>
        <v>1.6385657533129126E-2</v>
      </c>
      <c r="T46" s="67">
        <f>_xlfn.PERCENTILE.INC(T$21:T$37,0.25)</f>
        <v>2.7064127679154406E-5</v>
      </c>
      <c r="U46" s="67">
        <f>_xlfn.PERCENTILE.INC(U$21:U$37,0.25)</f>
        <v>2.017059764413013E-5</v>
      </c>
    </row>
    <row r="47" spans="1:21" x14ac:dyDescent="0.2">
      <c r="B47" s="12"/>
      <c r="C47" s="12"/>
      <c r="D47" s="125" t="s">
        <v>89</v>
      </c>
      <c r="E47" s="12"/>
      <c r="F47" s="12"/>
      <c r="G47" s="12"/>
      <c r="H47" s="12"/>
      <c r="I47" s="12"/>
      <c r="J47" s="67">
        <f>_xlfn.PERCENTILE.INC(J$21:J$37,0.1)</f>
        <v>2.7419374855034264E-3</v>
      </c>
      <c r="K47" s="67">
        <f>_xlfn.PERCENTILE.INC(K$21:K$37,0.1)</f>
        <v>3.5871643782337329E-4</v>
      </c>
      <c r="L47" s="67">
        <f>_xlfn.PERCENTILE.INC(L$21:L$37,0.1)</f>
        <v>2.4616614463487224E-6</v>
      </c>
      <c r="M47" s="67">
        <f>_xlfn.PERCENTILE.INC(M$21:M$37,0.1)</f>
        <v>2.1910088664562758E-7</v>
      </c>
      <c r="N47" s="67"/>
      <c r="O47" s="67"/>
      <c r="P47" s="67"/>
      <c r="Q47" s="67"/>
      <c r="R47" s="67">
        <f>_xlfn.PERCENTILE.INC(R$21:R$37,0.1)</f>
        <v>1.2520262490883225E-2</v>
      </c>
      <c r="S47" s="67">
        <f>_xlfn.PERCENTILE.INC(S$21:S$37,0.1)</f>
        <v>7.8838777543598533E-3</v>
      </c>
      <c r="T47" s="67">
        <f>_xlfn.PERCENTILE.INC(T$21:T$37,0.1)</f>
        <v>1.1240463225336631E-5</v>
      </c>
      <c r="U47" s="67">
        <f>_xlfn.PERCENTILE.INC(U$21:U$37,0.1)</f>
        <v>4.8154041021017053E-6</v>
      </c>
    </row>
  </sheetData>
  <mergeCells count="13">
    <mergeCell ref="B40:D40"/>
    <mergeCell ref="B41:D41"/>
    <mergeCell ref="B39:D39"/>
    <mergeCell ref="B2:Q2"/>
    <mergeCell ref="B4:G4"/>
    <mergeCell ref="J4:P4"/>
    <mergeCell ref="B13:G13"/>
    <mergeCell ref="B19:U19"/>
    <mergeCell ref="N21:N37"/>
    <mergeCell ref="O21:O37"/>
    <mergeCell ref="P21:P37"/>
    <mergeCell ref="Q21:Q37"/>
    <mergeCell ref="B38:D38"/>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sheetPr>
  <dimension ref="A2:U52"/>
  <sheetViews>
    <sheetView topLeftCell="A19" zoomScale="90" zoomScaleNormal="90" workbookViewId="0">
      <selection activeCell="B19" sqref="B19:U19"/>
    </sheetView>
  </sheetViews>
  <sheetFormatPr baseColWidth="10" defaultColWidth="9" defaultRowHeight="12.75" x14ac:dyDescent="0.2"/>
  <cols>
    <col min="1" max="1" width="9" style="1"/>
    <col min="2" max="2" width="58.375" style="1" bestFit="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customHeight="1" thickBot="1" x14ac:dyDescent="0.35">
      <c r="B2" s="157" t="s">
        <v>90</v>
      </c>
      <c r="C2" s="157"/>
      <c r="D2" s="157"/>
      <c r="E2" s="157"/>
      <c r="F2" s="157"/>
      <c r="G2" s="157"/>
      <c r="H2" s="157"/>
      <c r="I2" s="157"/>
      <c r="J2" s="157"/>
      <c r="K2" s="157"/>
      <c r="L2" s="157"/>
      <c r="M2" s="157"/>
      <c r="N2" s="157"/>
      <c r="O2" s="157"/>
      <c r="P2" s="157"/>
      <c r="Q2" s="157"/>
    </row>
    <row r="3" spans="2:17" ht="15" customHeight="1" thickTop="1" x14ac:dyDescent="0.2">
      <c r="B3" s="113" t="str">
        <f>Tooltype</f>
        <v>Calculator tool for the German scenario for inland water marinas</v>
      </c>
    </row>
    <row r="4" spans="2:17" ht="15" customHeight="1" thickBot="1" x14ac:dyDescent="0.35">
      <c r="B4" s="158" t="s">
        <v>47</v>
      </c>
      <c r="C4" s="158"/>
      <c r="D4" s="158"/>
      <c r="E4" s="158"/>
      <c r="F4" s="158"/>
      <c r="G4" s="158"/>
      <c r="J4" s="158" t="s">
        <v>155</v>
      </c>
      <c r="K4" s="158"/>
      <c r="L4" s="158"/>
      <c r="M4" s="158"/>
      <c r="N4" s="158"/>
      <c r="O4" s="158"/>
      <c r="P4" s="158"/>
    </row>
    <row r="5" spans="2:17" ht="15" customHeight="1" thickTop="1" x14ac:dyDescent="0.2"/>
    <row r="6" spans="2:17" ht="15" customHeight="1" x14ac:dyDescent="0.2">
      <c r="B6" s="1" t="s">
        <v>66</v>
      </c>
      <c r="F6" s="48">
        <v>2.5</v>
      </c>
      <c r="G6" s="23" t="s">
        <v>92</v>
      </c>
      <c r="J6" s="2" t="s">
        <v>156</v>
      </c>
      <c r="K6" s="2"/>
      <c r="L6" s="2"/>
      <c r="M6" s="2"/>
      <c r="N6" s="2"/>
      <c r="O6" s="50">
        <v>3070</v>
      </c>
      <c r="P6" s="2" t="s">
        <v>137</v>
      </c>
    </row>
    <row r="7" spans="2:17" ht="15" customHeight="1" x14ac:dyDescent="0.2">
      <c r="B7" s="1" t="s">
        <v>52</v>
      </c>
      <c r="F7" s="1">
        <f>D_Average_biocide_release_over_the_lifetime_of_the_paint_M</f>
        <v>2.5</v>
      </c>
      <c r="G7" s="23" t="s">
        <v>92</v>
      </c>
    </row>
    <row r="8" spans="2:17" ht="15" customHeight="1" x14ac:dyDescent="0.2">
      <c r="B8" s="1" t="s">
        <v>53</v>
      </c>
      <c r="F8" s="32" t="e">
        <f>D_Average_biocide_release_over_the_lifetime_of_the_paint_C</f>
        <v>#DIV/0!</v>
      </c>
      <c r="G8" s="23" t="s">
        <v>92</v>
      </c>
    </row>
    <row r="9" spans="2:17" ht="15" customHeight="1" x14ac:dyDescent="0.2">
      <c r="B9" s="1" t="s">
        <v>51</v>
      </c>
      <c r="F9" s="35">
        <f>IF(ISBLANK(D_Average_biocide_release_over_the_lifetime_of_the_paint_M),1,0)</f>
        <v>0</v>
      </c>
      <c r="G9" s="23"/>
    </row>
    <row r="10" spans="2:17" ht="15" customHeight="1" x14ac:dyDescent="0.2">
      <c r="B10" s="1" t="s">
        <v>50</v>
      </c>
      <c r="F10" s="32">
        <f>IF((F9&lt;1),D_Average_biocide_release_over_the_lifetime_of_the_paint_M,D_Average_biocide_release_over_the_lifetime_of_the_paint_C)</f>
        <v>2.5</v>
      </c>
      <c r="G10" s="23" t="s">
        <v>92</v>
      </c>
    </row>
    <row r="11" spans="2:17" ht="15" customHeight="1" x14ac:dyDescent="0.2">
      <c r="B11" s="1" t="s">
        <v>48</v>
      </c>
      <c r="F11" s="32">
        <f>F10/F6</f>
        <v>1</v>
      </c>
      <c r="G11" s="1" t="s">
        <v>2</v>
      </c>
    </row>
    <row r="12" spans="2:17" ht="15" customHeight="1" x14ac:dyDescent="0.2">
      <c r="F12" s="32"/>
    </row>
    <row r="13" spans="2:17" ht="15" customHeight="1" thickBot="1" x14ac:dyDescent="0.35">
      <c r="B13" s="158" t="s">
        <v>65</v>
      </c>
      <c r="C13" s="158"/>
      <c r="D13" s="158"/>
      <c r="E13" s="158"/>
      <c r="F13" s="158"/>
      <c r="G13" s="158"/>
    </row>
    <row r="14" spans="2:17" ht="15" customHeight="1" thickTop="1" x14ac:dyDescent="0.2"/>
    <row r="15" spans="2:17" ht="15" customHeight="1" x14ac:dyDescent="0.2">
      <c r="B15" s="1" t="s">
        <v>72</v>
      </c>
      <c r="F15" s="122">
        <v>0.9</v>
      </c>
    </row>
    <row r="16" spans="2:17" ht="15" customHeight="1" x14ac:dyDescent="0.2">
      <c r="B16" s="1" t="s">
        <v>67</v>
      </c>
      <c r="F16" s="32">
        <f>Application_Factor</f>
        <v>0.9</v>
      </c>
    </row>
    <row r="17" spans="2:21" ht="15" customHeight="1" x14ac:dyDescent="0.2">
      <c r="B17" s="1" t="s">
        <v>48</v>
      </c>
      <c r="F17" s="32">
        <f>F16/F15</f>
        <v>1</v>
      </c>
      <c r="G17" s="46"/>
    </row>
    <row r="18" spans="2:21" ht="15" customHeight="1" x14ac:dyDescent="0.2"/>
    <row r="19" spans="2:21" ht="15" x14ac:dyDescent="0.2">
      <c r="B19" s="154" t="s">
        <v>189</v>
      </c>
      <c r="C19" s="154"/>
      <c r="D19" s="154"/>
      <c r="E19" s="154"/>
      <c r="F19" s="154"/>
      <c r="G19" s="154"/>
      <c r="H19" s="154"/>
      <c r="I19" s="154"/>
      <c r="J19" s="154"/>
      <c r="K19" s="154"/>
      <c r="L19" s="154"/>
      <c r="M19" s="154"/>
      <c r="N19" s="154"/>
      <c r="O19" s="154"/>
      <c r="P19" s="154"/>
      <c r="Q19" s="154"/>
      <c r="R19" s="154"/>
      <c r="S19" s="154"/>
      <c r="T19" s="154"/>
      <c r="U19" s="154"/>
    </row>
    <row r="20" spans="2:21" ht="95.1" customHeight="1" x14ac:dyDescent="0.2">
      <c r="B20" s="88" t="s">
        <v>8</v>
      </c>
      <c r="C20" s="75" t="s">
        <v>108</v>
      </c>
      <c r="D20" s="88" t="s">
        <v>10</v>
      </c>
      <c r="E20" s="7" t="s">
        <v>171</v>
      </c>
      <c r="F20" s="8" t="s">
        <v>138</v>
      </c>
      <c r="G20" s="8" t="s">
        <v>139</v>
      </c>
      <c r="H20" s="8" t="s">
        <v>109</v>
      </c>
      <c r="I20" s="8" t="s">
        <v>140</v>
      </c>
      <c r="J20" s="8" t="s">
        <v>100</v>
      </c>
      <c r="K20" s="8" t="s">
        <v>141</v>
      </c>
      <c r="L20" s="8" t="s">
        <v>101</v>
      </c>
      <c r="M20" s="8" t="s">
        <v>142</v>
      </c>
      <c r="N20" s="7" t="s">
        <v>105</v>
      </c>
      <c r="O20" s="7" t="s">
        <v>104</v>
      </c>
      <c r="P20" s="7" t="s">
        <v>103</v>
      </c>
      <c r="Q20" s="7" t="s">
        <v>110</v>
      </c>
      <c r="R20" s="7" t="s">
        <v>58</v>
      </c>
      <c r="S20" s="7" t="s">
        <v>59</v>
      </c>
      <c r="T20" s="7" t="s">
        <v>60</v>
      </c>
      <c r="U20" s="7" t="s">
        <v>61</v>
      </c>
    </row>
    <row r="21" spans="2:21" ht="14.25" customHeight="1" x14ac:dyDescent="0.2">
      <c r="B21" s="78" t="s">
        <v>172</v>
      </c>
      <c r="C21" s="91" t="s">
        <v>11</v>
      </c>
      <c r="D21" s="78" t="str">
        <f t="shared" ref="D21:D37" si="0">D_Compound_Name</f>
        <v>DIDT</v>
      </c>
      <c r="E21" s="49">
        <v>4180</v>
      </c>
      <c r="F21" s="132">
        <v>3.6451632022857701</v>
      </c>
      <c r="G21" s="132">
        <v>4.2681341327261198E-3</v>
      </c>
      <c r="H21" s="132">
        <v>8.8111238134539805E-4</v>
      </c>
      <c r="I21" s="132">
        <v>1.03169751935657E-6</v>
      </c>
      <c r="J21" s="126">
        <f t="shared" ref="J21:J37" si="1">((($E21/$O$6)*$F21)*D_Leaching_Conversion_Factor*Application_Conversion_Factor)+D_Background_SW_Freshwater</f>
        <v>4.9631212330796473</v>
      </c>
      <c r="K21" s="126">
        <f t="shared" ref="K21:K37" si="2">((($E21/$O$6)*$G21)*D_Leaching_Conversion_Factor*Application_Conversion_Factor)+D_Background_Sed_Freshwater</f>
        <v>5.8113357246889841E-3</v>
      </c>
      <c r="L21" s="126">
        <f t="shared" ref="L21:L37" si="3">((($E21/$O$6)*$H21)*D_Leaching_Conversion_Factor*Application_Conversion_Factor)+D_Background_SW_Freshwater</f>
        <v>1.1996904736233758E-3</v>
      </c>
      <c r="M21" s="126">
        <f t="shared" ref="M21:M37" si="4">((($E21/$O$6)*$I21)*D_Leaching_Conversion_Factor*Application_Conversion_Factor)+D_Background_Sed_Freshwater</f>
        <v>1.4047217038796295E-6</v>
      </c>
      <c r="N21" s="160">
        <f>D_PNEC_Aquatic_Inside</f>
        <v>0.18</v>
      </c>
      <c r="O21" s="160">
        <f>D_PNEC_Sediment_Inside</f>
        <v>1.3699999999999999E-3</v>
      </c>
      <c r="P21" s="160">
        <f>D_PNEC_Aquatic_Surrounding</f>
        <v>0.18</v>
      </c>
      <c r="Q21" s="160">
        <f>D_PNEC_Sediment_Surrounding</f>
        <v>1.3699999999999999E-3</v>
      </c>
      <c r="R21" s="66">
        <f t="shared" ref="R21:R37" si="5">$J21/D_PNEC_Aquatic_Inside</f>
        <v>27.572895739331376</v>
      </c>
      <c r="S21" s="66">
        <f t="shared" ref="S21:S37" si="6">$K21/D_PNEC_Sediment_Inside</f>
        <v>4.2418508939335657</v>
      </c>
      <c r="T21" s="66">
        <f t="shared" ref="T21:T37" si="7">$L21/D_PNEC_Aquatic_Surrounding</f>
        <v>6.6649470756854215E-3</v>
      </c>
      <c r="U21" s="66">
        <f t="shared" ref="U21:U37" si="8">$M21/D_PNEC_Sediment_Surrounding</f>
        <v>1.0253443094011894E-3</v>
      </c>
    </row>
    <row r="22" spans="2:21" ht="14.25" customHeight="1" x14ac:dyDescent="0.2">
      <c r="B22" s="78" t="s">
        <v>173</v>
      </c>
      <c r="C22" s="91" t="s">
        <v>11</v>
      </c>
      <c r="D22" s="78" t="str">
        <f t="shared" si="0"/>
        <v>DIDT</v>
      </c>
      <c r="E22" s="49">
        <v>2888</v>
      </c>
      <c r="F22" s="132">
        <v>2.7038508167862898</v>
      </c>
      <c r="G22" s="132">
        <v>2.7399843051098299E-2</v>
      </c>
      <c r="H22" s="132">
        <v>8.3137534035598198E-4</v>
      </c>
      <c r="I22" s="132">
        <v>8.4248559931374907E-6</v>
      </c>
      <c r="J22" s="126">
        <f t="shared" si="1"/>
        <v>2.543557380742282</v>
      </c>
      <c r="K22" s="126">
        <f t="shared" si="2"/>
        <v>2.5775487534713971E-2</v>
      </c>
      <c r="L22" s="126">
        <f t="shared" si="3"/>
        <v>7.8208859379416153E-4</v>
      </c>
      <c r="M22" s="126">
        <f t="shared" si="4"/>
        <v>7.9254019896355295E-6</v>
      </c>
      <c r="N22" s="160"/>
      <c r="O22" s="160"/>
      <c r="P22" s="160"/>
      <c r="Q22" s="160"/>
      <c r="R22" s="66">
        <f t="shared" si="5"/>
        <v>14.130874337457122</v>
      </c>
      <c r="S22" s="66">
        <f t="shared" si="6"/>
        <v>18.814224477893411</v>
      </c>
      <c r="T22" s="66">
        <f t="shared" si="7"/>
        <v>4.3449366321897864E-3</v>
      </c>
      <c r="U22" s="66">
        <f t="shared" si="8"/>
        <v>5.7849649559383433E-3</v>
      </c>
    </row>
    <row r="23" spans="2:21" ht="14.25" customHeight="1" x14ac:dyDescent="0.2">
      <c r="B23" s="78" t="s">
        <v>174</v>
      </c>
      <c r="C23" s="91" t="s">
        <v>11</v>
      </c>
      <c r="D23" s="78" t="str">
        <f t="shared" si="0"/>
        <v>DIDT</v>
      </c>
      <c r="E23" s="49">
        <v>9904</v>
      </c>
      <c r="F23" s="132">
        <v>1.5857340931892401</v>
      </c>
      <c r="G23" s="132">
        <v>3.1795005984604399E-2</v>
      </c>
      <c r="H23" s="132">
        <v>5.9087047092740901E-4</v>
      </c>
      <c r="I23" s="132">
        <v>1.18473394335676E-5</v>
      </c>
      <c r="J23" s="126">
        <f t="shared" si="1"/>
        <v>5.1156711592658741</v>
      </c>
      <c r="K23" s="126">
        <f t="shared" si="2"/>
        <v>0.10257255350863909</v>
      </c>
      <c r="L23" s="126">
        <f t="shared" si="3"/>
        <v>1.9061827830830812E-3</v>
      </c>
      <c r="M23" s="126">
        <f t="shared" si="4"/>
        <v>3.8220211644968569E-5</v>
      </c>
      <c r="N23" s="160"/>
      <c r="O23" s="160"/>
      <c r="P23" s="160"/>
      <c r="Q23" s="160"/>
      <c r="R23" s="66">
        <f t="shared" si="5"/>
        <v>28.420395329254859</v>
      </c>
      <c r="S23" s="66">
        <f t="shared" si="6"/>
        <v>74.870477013605182</v>
      </c>
      <c r="T23" s="66">
        <f t="shared" si="7"/>
        <v>1.0589904350461563E-2</v>
      </c>
      <c r="U23" s="66">
        <f t="shared" si="8"/>
        <v>2.7897964704356622E-2</v>
      </c>
    </row>
    <row r="24" spans="2:21" ht="14.25" customHeight="1" x14ac:dyDescent="0.2">
      <c r="B24" s="78" t="s">
        <v>175</v>
      </c>
      <c r="C24" s="91" t="s">
        <v>11</v>
      </c>
      <c r="D24" s="78" t="str">
        <f t="shared" si="0"/>
        <v>DIDT</v>
      </c>
      <c r="E24" s="49">
        <v>31839</v>
      </c>
      <c r="F24" s="132">
        <v>0.111644150055945</v>
      </c>
      <c r="G24" s="132">
        <v>4.4446336687542498E-3</v>
      </c>
      <c r="H24" s="132">
        <v>6.2566851666809095E-5</v>
      </c>
      <c r="I24" s="132">
        <v>2.49083122290642E-6</v>
      </c>
      <c r="J24" s="126">
        <f t="shared" si="1"/>
        <v>1.1578625712153854</v>
      </c>
      <c r="K24" s="126">
        <f t="shared" si="2"/>
        <v>4.6095339211552629E-2</v>
      </c>
      <c r="L24" s="126">
        <f t="shared" si="3"/>
        <v>6.4888143003893645E-4</v>
      </c>
      <c r="M24" s="126">
        <f t="shared" si="4"/>
        <v>2.5832434953132741E-5</v>
      </c>
      <c r="N24" s="160"/>
      <c r="O24" s="160"/>
      <c r="P24" s="160"/>
      <c r="Q24" s="160"/>
      <c r="R24" s="66">
        <f t="shared" si="5"/>
        <v>6.4325698400854749</v>
      </c>
      <c r="S24" s="66">
        <f t="shared" si="6"/>
        <v>33.646233001133311</v>
      </c>
      <c r="T24" s="66">
        <f t="shared" si="7"/>
        <v>3.6048968335496471E-3</v>
      </c>
      <c r="U24" s="66">
        <f t="shared" si="8"/>
        <v>1.8855791936593244E-2</v>
      </c>
    </row>
    <row r="25" spans="2:21" ht="14.25" customHeight="1" x14ac:dyDescent="0.2">
      <c r="B25" s="78" t="s">
        <v>176</v>
      </c>
      <c r="C25" s="91" t="s">
        <v>11</v>
      </c>
      <c r="D25" s="78" t="str">
        <f t="shared" si="0"/>
        <v>DIDT</v>
      </c>
      <c r="E25" s="49">
        <v>12360</v>
      </c>
      <c r="F25" s="132">
        <v>7.5184119269251795E-2</v>
      </c>
      <c r="G25" s="132">
        <v>2.8629977745003999E-3</v>
      </c>
      <c r="H25" s="132">
        <v>3.2045648528652698E-5</v>
      </c>
      <c r="I25" s="132">
        <v>1.2202925513859101E-6</v>
      </c>
      <c r="J25" s="126">
        <f t="shared" si="1"/>
        <v>0.30269567236741113</v>
      </c>
      <c r="K25" s="126">
        <f t="shared" si="2"/>
        <v>1.1526596903200308E-2</v>
      </c>
      <c r="L25" s="126">
        <f t="shared" si="3"/>
        <v>1.2901765987431509E-4</v>
      </c>
      <c r="M25" s="126">
        <f t="shared" si="4"/>
        <v>4.9129693599771496E-6</v>
      </c>
      <c r="N25" s="160"/>
      <c r="O25" s="160"/>
      <c r="P25" s="160"/>
      <c r="Q25" s="160"/>
      <c r="R25" s="66">
        <f t="shared" si="5"/>
        <v>1.6816426242633953</v>
      </c>
      <c r="S25" s="66">
        <f t="shared" si="6"/>
        <v>8.4135743818980355</v>
      </c>
      <c r="T25" s="66">
        <f t="shared" si="7"/>
        <v>7.1676477707952827E-4</v>
      </c>
      <c r="U25" s="66">
        <f t="shared" si="8"/>
        <v>3.5861090218811315E-3</v>
      </c>
    </row>
    <row r="26" spans="2:21" ht="14.25" customHeight="1" x14ac:dyDescent="0.2">
      <c r="B26" s="78" t="s">
        <v>177</v>
      </c>
      <c r="C26" s="91" t="s">
        <v>11</v>
      </c>
      <c r="D26" s="78" t="str">
        <f t="shared" si="0"/>
        <v>DIDT</v>
      </c>
      <c r="E26" s="49">
        <v>12311</v>
      </c>
      <c r="F26" s="132">
        <v>0.19179554898291801</v>
      </c>
      <c r="G26" s="132">
        <v>1.6009956764173701E-3</v>
      </c>
      <c r="H26" s="132">
        <v>1.69696221603781E-4</v>
      </c>
      <c r="I26" s="132">
        <v>1.41652358604032E-6</v>
      </c>
      <c r="J26" s="126">
        <f t="shared" si="1"/>
        <v>0.76911889365755814</v>
      </c>
      <c r="K26" s="126">
        <f t="shared" si="2"/>
        <v>6.4201491115225551E-3</v>
      </c>
      <c r="L26" s="126">
        <f t="shared" si="3"/>
        <v>6.8049843132382667E-4</v>
      </c>
      <c r="M26" s="126">
        <f t="shared" si="4"/>
        <v>5.6803980025219477E-6</v>
      </c>
      <c r="N26" s="160"/>
      <c r="O26" s="160"/>
      <c r="P26" s="160"/>
      <c r="Q26" s="160"/>
      <c r="R26" s="66">
        <f t="shared" si="5"/>
        <v>4.2728827425419897</v>
      </c>
      <c r="S26" s="66">
        <f t="shared" si="6"/>
        <v>4.6862402273887263</v>
      </c>
      <c r="T26" s="66">
        <f t="shared" si="7"/>
        <v>3.780546840687926E-3</v>
      </c>
      <c r="U26" s="66">
        <f t="shared" si="8"/>
        <v>4.1462759142495975E-3</v>
      </c>
    </row>
    <row r="27" spans="2:21" ht="14.25" customHeight="1" x14ac:dyDescent="0.2">
      <c r="B27" s="78" t="s">
        <v>178</v>
      </c>
      <c r="C27" s="91" t="s">
        <v>11</v>
      </c>
      <c r="D27" s="78" t="str">
        <f t="shared" si="0"/>
        <v>DIDT</v>
      </c>
      <c r="E27" s="49">
        <v>1377</v>
      </c>
      <c r="F27" s="132">
        <v>7.1355745315551804</v>
      </c>
      <c r="G27" s="132">
        <v>5.4629299131920602E-3</v>
      </c>
      <c r="H27" s="132">
        <v>4.9704727740997098E-3</v>
      </c>
      <c r="I27" s="132">
        <v>3.8053479803087001E-6</v>
      </c>
      <c r="J27" s="126">
        <f t="shared" si="1"/>
        <v>3.2005492279972261</v>
      </c>
      <c r="K27" s="126">
        <f t="shared" si="2"/>
        <v>2.4503109089464062E-3</v>
      </c>
      <c r="L27" s="126">
        <f t="shared" si="3"/>
        <v>2.229427039066873E-3</v>
      </c>
      <c r="M27" s="126">
        <f t="shared" si="4"/>
        <v>1.7068287195065407E-6</v>
      </c>
      <c r="N27" s="160"/>
      <c r="O27" s="160"/>
      <c r="P27" s="160"/>
      <c r="Q27" s="160"/>
      <c r="R27" s="66">
        <f t="shared" si="5"/>
        <v>17.780829044429034</v>
      </c>
      <c r="S27" s="66">
        <f t="shared" si="6"/>
        <v>1.7885481087200046</v>
      </c>
      <c r="T27" s="66">
        <f t="shared" si="7"/>
        <v>1.2385705772593739E-2</v>
      </c>
      <c r="U27" s="66">
        <f t="shared" si="8"/>
        <v>1.2458603792018547E-3</v>
      </c>
    </row>
    <row r="28" spans="2:21" ht="14.25" customHeight="1" x14ac:dyDescent="0.2">
      <c r="B28" s="78" t="s">
        <v>179</v>
      </c>
      <c r="C28" s="91" t="s">
        <v>11</v>
      </c>
      <c r="D28" s="78" t="str">
        <f t="shared" si="0"/>
        <v>DIDT</v>
      </c>
      <c r="E28" s="49">
        <v>1725</v>
      </c>
      <c r="F28" s="132">
        <v>9.4373899126052798</v>
      </c>
      <c r="G28" s="132">
        <v>5.2599296259880104</v>
      </c>
      <c r="H28" s="132">
        <v>3.9031397201567098E-3</v>
      </c>
      <c r="I28" s="132">
        <v>2.1754150782665699E-3</v>
      </c>
      <c r="J28" s="126">
        <f t="shared" si="1"/>
        <v>5.302767947636517</v>
      </c>
      <c r="K28" s="126">
        <f t="shared" si="2"/>
        <v>2.9554979168825142</v>
      </c>
      <c r="L28" s="126">
        <f t="shared" si="3"/>
        <v>2.1931322531825162E-3</v>
      </c>
      <c r="M28" s="126">
        <f t="shared" si="4"/>
        <v>1.2223423485374048E-3</v>
      </c>
      <c r="N28" s="160"/>
      <c r="O28" s="160"/>
      <c r="P28" s="160"/>
      <c r="Q28" s="160"/>
      <c r="R28" s="66">
        <f t="shared" si="5"/>
        <v>29.459821931313986</v>
      </c>
      <c r="S28" s="66">
        <f t="shared" si="6"/>
        <v>2157.2977495492805</v>
      </c>
      <c r="T28" s="66">
        <f t="shared" si="7"/>
        <v>1.2184068073236201E-2</v>
      </c>
      <c r="U28" s="66">
        <f t="shared" si="8"/>
        <v>0.89222069236306933</v>
      </c>
    </row>
    <row r="29" spans="2:21" ht="14.25" customHeight="1" x14ac:dyDescent="0.2">
      <c r="B29" s="78" t="s">
        <v>180</v>
      </c>
      <c r="C29" s="91" t="s">
        <v>11</v>
      </c>
      <c r="D29" s="78" t="str">
        <f t="shared" si="0"/>
        <v>DIDT</v>
      </c>
      <c r="E29" s="49">
        <v>9402</v>
      </c>
      <c r="F29" s="132">
        <v>0.34841542519628999</v>
      </c>
      <c r="G29" s="132">
        <v>2.19010558648733E-3</v>
      </c>
      <c r="H29" s="132">
        <v>8.4504318203068801E-4</v>
      </c>
      <c r="I29" s="132">
        <v>5.3118594975187804E-6</v>
      </c>
      <c r="J29" s="126">
        <f t="shared" si="1"/>
        <v>1.0670364259594523</v>
      </c>
      <c r="K29" s="126">
        <f t="shared" si="2"/>
        <v>6.7072875322976792E-3</v>
      </c>
      <c r="L29" s="126">
        <f t="shared" si="3"/>
        <v>2.5879791522646673E-3</v>
      </c>
      <c r="M29" s="126">
        <f t="shared" si="4"/>
        <v>1.6267785992075429E-5</v>
      </c>
      <c r="N29" s="160"/>
      <c r="O29" s="160"/>
      <c r="P29" s="160"/>
      <c r="Q29" s="160"/>
      <c r="R29" s="66">
        <f t="shared" si="5"/>
        <v>5.9279801442191795</v>
      </c>
      <c r="S29" s="66">
        <f t="shared" si="6"/>
        <v>4.8958303155457514</v>
      </c>
      <c r="T29" s="66">
        <f t="shared" si="7"/>
        <v>1.4377661957025929E-2</v>
      </c>
      <c r="U29" s="66">
        <f t="shared" si="8"/>
        <v>1.1874296344580607E-2</v>
      </c>
    </row>
    <row r="30" spans="2:21" ht="14.25" customHeight="1" x14ac:dyDescent="0.2">
      <c r="B30" s="78" t="s">
        <v>181</v>
      </c>
      <c r="C30" s="91" t="s">
        <v>11</v>
      </c>
      <c r="D30" s="78" t="str">
        <f t="shared" si="0"/>
        <v>DIDT</v>
      </c>
      <c r="E30" s="49">
        <v>2818</v>
      </c>
      <c r="F30" s="132">
        <v>8.6936359656974702E-2</v>
      </c>
      <c r="G30" s="132">
        <v>8.2404743652659802E-5</v>
      </c>
      <c r="H30" s="132">
        <v>8.7135333907147807E-5</v>
      </c>
      <c r="I30" s="132">
        <v>8.2593345906239106E-8</v>
      </c>
      <c r="J30" s="126">
        <f t="shared" si="1"/>
        <v>7.9800215476662772E-2</v>
      </c>
      <c r="K30" s="126">
        <f t="shared" si="2"/>
        <v>7.5640575769770471E-5</v>
      </c>
      <c r="L30" s="126">
        <f t="shared" si="3"/>
        <v>7.9982856987082258E-5</v>
      </c>
      <c r="M30" s="126">
        <f t="shared" si="4"/>
        <v>7.5813696665726976E-8</v>
      </c>
      <c r="N30" s="160"/>
      <c r="O30" s="160"/>
      <c r="P30" s="160"/>
      <c r="Q30" s="160"/>
      <c r="R30" s="66">
        <f t="shared" si="5"/>
        <v>0.44333453042590432</v>
      </c>
      <c r="S30" s="66">
        <f t="shared" si="6"/>
        <v>5.5212099102022245E-2</v>
      </c>
      <c r="T30" s="66">
        <f t="shared" si="7"/>
        <v>4.4434920548379033E-4</v>
      </c>
      <c r="U30" s="66">
        <f t="shared" si="8"/>
        <v>5.5338464719508742E-5</v>
      </c>
    </row>
    <row r="31" spans="2:21" ht="14.25" customHeight="1" x14ac:dyDescent="0.2">
      <c r="B31" s="78" t="s">
        <v>182</v>
      </c>
      <c r="C31" s="91" t="s">
        <v>11</v>
      </c>
      <c r="D31" s="78" t="str">
        <f t="shared" si="0"/>
        <v>DIDT</v>
      </c>
      <c r="E31" s="49">
        <v>7529</v>
      </c>
      <c r="F31" s="132">
        <v>3.1427797991037401</v>
      </c>
      <c r="G31" s="132">
        <v>2.6466914974152999E-2</v>
      </c>
      <c r="H31" s="132">
        <v>1.40847436395913E-3</v>
      </c>
      <c r="I31" s="132">
        <v>1.1861464501951101E-5</v>
      </c>
      <c r="J31" s="126">
        <f t="shared" si="1"/>
        <v>7.7074883086163064</v>
      </c>
      <c r="K31" s="126">
        <f t="shared" si="2"/>
        <v>6.4908600273745259E-2</v>
      </c>
      <c r="L31" s="126">
        <f t="shared" si="3"/>
        <v>3.4542030899831567E-3</v>
      </c>
      <c r="M31" s="126">
        <f t="shared" si="4"/>
        <v>2.9089565548921773E-5</v>
      </c>
      <c r="N31" s="160"/>
      <c r="O31" s="160"/>
      <c r="P31" s="160"/>
      <c r="Q31" s="160"/>
      <c r="R31" s="66">
        <f t="shared" si="5"/>
        <v>42.819379492312812</v>
      </c>
      <c r="S31" s="66">
        <f t="shared" si="6"/>
        <v>47.378540345799465</v>
      </c>
      <c r="T31" s="66">
        <f t="shared" si="7"/>
        <v>1.9190017166573092E-2</v>
      </c>
      <c r="U31" s="66">
        <f t="shared" si="8"/>
        <v>2.123325952476042E-2</v>
      </c>
    </row>
    <row r="32" spans="2:21" ht="14.25" customHeight="1" x14ac:dyDescent="0.2">
      <c r="B32" s="78" t="s">
        <v>183</v>
      </c>
      <c r="C32" s="91" t="s">
        <v>11</v>
      </c>
      <c r="D32" s="78" t="str">
        <f t="shared" si="0"/>
        <v>DIDT</v>
      </c>
      <c r="E32" s="49">
        <v>2825</v>
      </c>
      <c r="F32" s="132">
        <v>8.8095357048511502</v>
      </c>
      <c r="G32" s="132">
        <v>3.1883086729794702E-2</v>
      </c>
      <c r="H32" s="132">
        <v>5.4958631500994703E-3</v>
      </c>
      <c r="I32" s="132">
        <v>1.9890387863057401E-5</v>
      </c>
      <c r="J32" s="126">
        <f t="shared" si="1"/>
        <v>8.1064945818255687</v>
      </c>
      <c r="K32" s="126">
        <f t="shared" si="2"/>
        <v>2.9338671013573299E-2</v>
      </c>
      <c r="L32" s="126">
        <f t="shared" si="3"/>
        <v>5.0572682081534209E-3</v>
      </c>
      <c r="M32" s="126">
        <f t="shared" si="4"/>
        <v>1.8303044206233601E-5</v>
      </c>
      <c r="N32" s="160"/>
      <c r="O32" s="160"/>
      <c r="P32" s="160"/>
      <c r="Q32" s="160"/>
      <c r="R32" s="66">
        <f t="shared" si="5"/>
        <v>45.036081010142048</v>
      </c>
      <c r="S32" s="66">
        <f t="shared" si="6"/>
        <v>21.415088331075403</v>
      </c>
      <c r="T32" s="66">
        <f t="shared" si="7"/>
        <v>2.809593448974123E-2</v>
      </c>
      <c r="U32" s="66">
        <f t="shared" si="8"/>
        <v>1.3359886281922338E-2</v>
      </c>
    </row>
    <row r="33" spans="1:21" ht="14.25" customHeight="1" x14ac:dyDescent="0.2">
      <c r="B33" s="78" t="s">
        <v>184</v>
      </c>
      <c r="C33" s="91" t="s">
        <v>11</v>
      </c>
      <c r="D33" s="78" t="str">
        <f t="shared" si="0"/>
        <v>DIDT</v>
      </c>
      <c r="E33" s="49">
        <v>726</v>
      </c>
      <c r="F33" s="132">
        <v>9.9644343209266601</v>
      </c>
      <c r="G33" s="132">
        <v>0.12396602300927</v>
      </c>
      <c r="H33" s="132">
        <v>4.6338721685428496E-3</v>
      </c>
      <c r="I33" s="132">
        <v>5.7649304256861103E-5</v>
      </c>
      <c r="J33" s="126">
        <f t="shared" si="1"/>
        <v>2.3564102009748389</v>
      </c>
      <c r="K33" s="126">
        <f t="shared" si="2"/>
        <v>2.931574355202932E-2</v>
      </c>
      <c r="L33" s="126">
        <f t="shared" si="3"/>
        <v>1.09582775060655E-3</v>
      </c>
      <c r="M33" s="126">
        <f t="shared" si="4"/>
        <v>1.3633027651622528E-5</v>
      </c>
      <c r="N33" s="160"/>
      <c r="O33" s="160"/>
      <c r="P33" s="160"/>
      <c r="Q33" s="160"/>
      <c r="R33" s="66">
        <f t="shared" si="5"/>
        <v>13.09116778319355</v>
      </c>
      <c r="S33" s="66">
        <f t="shared" si="6"/>
        <v>21.398352957685635</v>
      </c>
      <c r="T33" s="66">
        <f t="shared" si="7"/>
        <v>6.087931947814167E-3</v>
      </c>
      <c r="U33" s="66">
        <f t="shared" si="8"/>
        <v>9.9511150741770291E-3</v>
      </c>
    </row>
    <row r="34" spans="1:21" ht="14.25" customHeight="1" x14ac:dyDescent="0.2">
      <c r="B34" s="78" t="s">
        <v>185</v>
      </c>
      <c r="C34" s="91" t="s">
        <v>11</v>
      </c>
      <c r="D34" s="78" t="str">
        <f t="shared" si="0"/>
        <v>DIDT</v>
      </c>
      <c r="E34" s="49">
        <v>4138</v>
      </c>
      <c r="F34" s="132">
        <v>1.15730835750699</v>
      </c>
      <c r="G34" s="132">
        <v>5.1192530605476301E-4</v>
      </c>
      <c r="H34" s="132">
        <v>2.3259119932616301E-4</v>
      </c>
      <c r="I34" s="132">
        <v>1.0288469743185E-7</v>
      </c>
      <c r="J34" s="126">
        <f t="shared" si="1"/>
        <v>1.5599159554931352</v>
      </c>
      <c r="K34" s="126">
        <f t="shared" si="2"/>
        <v>6.9001528223277186E-4</v>
      </c>
      <c r="L34" s="126">
        <f t="shared" si="3"/>
        <v>3.1350566215363601E-4</v>
      </c>
      <c r="M34" s="126">
        <f t="shared" si="4"/>
        <v>1.3867650748306038E-7</v>
      </c>
      <c r="N34" s="160"/>
      <c r="O34" s="160"/>
      <c r="P34" s="160"/>
      <c r="Q34" s="160"/>
      <c r="R34" s="66">
        <f t="shared" si="5"/>
        <v>8.6661997527396402</v>
      </c>
      <c r="S34" s="66">
        <f t="shared" si="6"/>
        <v>0.50366078995092844</v>
      </c>
      <c r="T34" s="66">
        <f t="shared" si="7"/>
        <v>1.7416981230757556E-3</v>
      </c>
      <c r="U34" s="66">
        <f t="shared" si="8"/>
        <v>1.012237280898251E-4</v>
      </c>
    </row>
    <row r="35" spans="1:21" ht="14.25" customHeight="1" x14ac:dyDescent="0.2">
      <c r="B35" s="78" t="s">
        <v>186</v>
      </c>
      <c r="C35" s="91" t="s">
        <v>11</v>
      </c>
      <c r="D35" s="78" t="str">
        <f t="shared" si="0"/>
        <v>DIDT</v>
      </c>
      <c r="E35" s="49">
        <v>1268</v>
      </c>
      <c r="F35" s="132">
        <v>26.4668349981308</v>
      </c>
      <c r="G35" s="132">
        <v>2.9502580733969799E-2</v>
      </c>
      <c r="H35" s="132">
        <v>1.9541935624929098E-3</v>
      </c>
      <c r="I35" s="132">
        <v>2.1783395471777498E-6</v>
      </c>
      <c r="J35" s="126">
        <f t="shared" si="1"/>
        <v>10.931578754928291</v>
      </c>
      <c r="K35" s="126">
        <f t="shared" si="2"/>
        <v>1.2185430739633128E-2</v>
      </c>
      <c r="L35" s="126">
        <f t="shared" si="3"/>
        <v>8.0713923037166436E-4</v>
      </c>
      <c r="M35" s="126">
        <f t="shared" si="4"/>
        <v>8.9971809310142884E-7</v>
      </c>
      <c r="N35" s="160"/>
      <c r="O35" s="160"/>
      <c r="P35" s="160"/>
      <c r="Q35" s="160"/>
      <c r="R35" s="66">
        <f t="shared" si="5"/>
        <v>60.730993082934951</v>
      </c>
      <c r="S35" s="66">
        <f t="shared" si="6"/>
        <v>8.89447499243294</v>
      </c>
      <c r="T35" s="66">
        <f t="shared" si="7"/>
        <v>4.4841068353981351E-3</v>
      </c>
      <c r="U35" s="66">
        <f t="shared" si="8"/>
        <v>6.5672853511053203E-4</v>
      </c>
    </row>
    <row r="36" spans="1:21" ht="14.25" customHeight="1" x14ac:dyDescent="0.2">
      <c r="B36" s="78" t="s">
        <v>187</v>
      </c>
      <c r="C36" s="91" t="s">
        <v>11</v>
      </c>
      <c r="D36" s="78" t="str">
        <f t="shared" si="0"/>
        <v>DIDT</v>
      </c>
      <c r="E36" s="49">
        <v>5293</v>
      </c>
      <c r="F36" s="132">
        <v>6.2877519536018402</v>
      </c>
      <c r="G36" s="132">
        <v>2.65044598001987E-2</v>
      </c>
      <c r="H36" s="132">
        <v>6.3432654710174601E-4</v>
      </c>
      <c r="I36" s="132">
        <v>2.6738463274455801E-6</v>
      </c>
      <c r="J36" s="126">
        <f t="shared" si="1"/>
        <v>10.840739768864671</v>
      </c>
      <c r="K36" s="126">
        <f t="shared" si="2"/>
        <v>4.5696451375391439E-2</v>
      </c>
      <c r="L36" s="126">
        <f t="shared" si="3"/>
        <v>1.0936450859314469E-3</v>
      </c>
      <c r="M36" s="126">
        <f t="shared" si="4"/>
        <v>4.6099897756252304E-6</v>
      </c>
      <c r="N36" s="160"/>
      <c r="O36" s="160"/>
      <c r="P36" s="160"/>
      <c r="Q36" s="160"/>
      <c r="R36" s="66">
        <f t="shared" si="5"/>
        <v>60.226332049248171</v>
      </c>
      <c r="S36" s="66">
        <f t="shared" si="6"/>
        <v>33.355073996636087</v>
      </c>
      <c r="T36" s="66">
        <f t="shared" si="7"/>
        <v>6.0758060329524832E-3</v>
      </c>
      <c r="U36" s="66">
        <f t="shared" si="8"/>
        <v>3.364956040602358E-3</v>
      </c>
    </row>
    <row r="37" spans="1:21" ht="14.25" customHeight="1" x14ac:dyDescent="0.2">
      <c r="B37" s="78" t="s">
        <v>188</v>
      </c>
      <c r="C37" s="91" t="s">
        <v>11</v>
      </c>
      <c r="D37" s="78" t="str">
        <f t="shared" si="0"/>
        <v>DIDT</v>
      </c>
      <c r="E37" s="49">
        <v>5285</v>
      </c>
      <c r="F37" s="132">
        <v>1.24189414128661</v>
      </c>
      <c r="G37" s="132">
        <v>9.8881400213576796E-3</v>
      </c>
      <c r="H37" s="132">
        <v>1.8568604307798199E-3</v>
      </c>
      <c r="I37" s="132">
        <v>1.4784590097425399E-5</v>
      </c>
      <c r="J37" s="126">
        <f t="shared" si="1"/>
        <v>2.1379187415960046</v>
      </c>
      <c r="K37" s="126">
        <f t="shared" si="2"/>
        <v>1.702241694230467E-2</v>
      </c>
      <c r="L37" s="126">
        <f t="shared" si="3"/>
        <v>3.1965822073848041E-3</v>
      </c>
      <c r="M37" s="126">
        <f t="shared" si="4"/>
        <v>2.545164777358086E-5</v>
      </c>
      <c r="N37" s="160"/>
      <c r="O37" s="160"/>
      <c r="P37" s="160"/>
      <c r="Q37" s="160"/>
      <c r="R37" s="66">
        <f t="shared" si="5"/>
        <v>11.877326342200027</v>
      </c>
      <c r="S37" s="66">
        <f t="shared" si="6"/>
        <v>12.42512185569684</v>
      </c>
      <c r="T37" s="66">
        <f t="shared" si="7"/>
        <v>1.7758790041026689E-2</v>
      </c>
      <c r="U37" s="66">
        <f t="shared" si="8"/>
        <v>1.8577845090205009E-2</v>
      </c>
    </row>
    <row r="38" spans="1:21" x14ac:dyDescent="0.2">
      <c r="B38" s="156" t="s">
        <v>160</v>
      </c>
      <c r="C38" s="156"/>
      <c r="D38" s="156"/>
      <c r="E38" s="129"/>
      <c r="F38" s="129"/>
      <c r="G38" s="129"/>
      <c r="H38" s="129"/>
      <c r="I38" s="129"/>
      <c r="J38" s="67">
        <f>MEDIAN($J$21:$J$37)</f>
        <v>2.543557380742282</v>
      </c>
      <c r="K38" s="67">
        <f>MEDIAN($K$21:$K$37)</f>
        <v>1.702241694230467E-2</v>
      </c>
      <c r="L38" s="67">
        <f>MEDIAN($L$21:$L$37)</f>
        <v>1.09582775060655E-3</v>
      </c>
      <c r="M38" s="67">
        <f>MEDIAN($M$21:$M$37)</f>
        <v>7.9254019896355295E-6</v>
      </c>
      <c r="N38" s="67"/>
      <c r="O38" s="67"/>
      <c r="P38" s="67"/>
      <c r="Q38" s="67"/>
      <c r="R38" s="67">
        <f>MEDIAN($R$21:$R$37)</f>
        <v>14.130874337457122</v>
      </c>
      <c r="S38" s="67">
        <f>MEDIAN($S$21:$S$37)</f>
        <v>12.42512185569684</v>
      </c>
      <c r="T38" s="67">
        <f>MEDIAN($T$21:$T$37)</f>
        <v>6.087931947814167E-3</v>
      </c>
      <c r="U38" s="67">
        <f>MEDIAN($U$21:$U$37)</f>
        <v>5.7849649559383433E-3</v>
      </c>
    </row>
    <row r="39" spans="1:21" x14ac:dyDescent="0.2">
      <c r="B39" s="156" t="s">
        <v>159</v>
      </c>
      <c r="C39" s="156"/>
      <c r="D39" s="156"/>
      <c r="E39" s="125"/>
      <c r="F39" s="125"/>
      <c r="G39" s="125"/>
      <c r="H39" s="125"/>
      <c r="I39" s="125"/>
      <c r="J39" s="67">
        <f>AVERAGE($J$21:$J$37)</f>
        <v>4.0083957082174599</v>
      </c>
      <c r="K39" s="67">
        <f>AVERAGE($K$21:$K$37)</f>
        <v>0.19776999688663263</v>
      </c>
      <c r="L39" s="67">
        <f>AVERAGE($L$21:$L$37)</f>
        <v>1.6150030534013832E-3</v>
      </c>
      <c r="M39" s="67">
        <f>AVERAGE($M$21:$M$37)</f>
        <v>8.3323210832725683E-5</v>
      </c>
      <c r="N39" s="67"/>
      <c r="O39" s="67"/>
      <c r="P39" s="67"/>
      <c r="Q39" s="67"/>
      <c r="R39" s="67">
        <f>AVERAGE($R$21:$R$37)</f>
        <v>22.268865045652564</v>
      </c>
      <c r="S39" s="67">
        <f>AVERAGE($S$21:$S$37)</f>
        <v>144.35766196104581</v>
      </c>
      <c r="T39" s="67">
        <f>AVERAGE($T$21:$T$37)</f>
        <v>8.97223918556324E-3</v>
      </c>
      <c r="U39" s="67">
        <f>AVERAGE($U$21:$U$37)</f>
        <v>6.0819861921697582E-2</v>
      </c>
    </row>
    <row r="40" spans="1:21" x14ac:dyDescent="0.2">
      <c r="B40" s="156" t="s">
        <v>12</v>
      </c>
      <c r="C40" s="156"/>
      <c r="D40" s="156"/>
      <c r="E40" s="125"/>
      <c r="F40" s="125"/>
      <c r="G40" s="125"/>
      <c r="H40" s="125"/>
      <c r="I40" s="125"/>
      <c r="J40" s="67">
        <f>MAX($J$21:$J$37)</f>
        <v>10.931578754928291</v>
      </c>
      <c r="K40" s="67">
        <f>MAX($K$21:$K$37)</f>
        <v>2.9554979168825142</v>
      </c>
      <c r="L40" s="67">
        <f>MAX($L$21:$L$37)</f>
        <v>5.0572682081534209E-3</v>
      </c>
      <c r="M40" s="67">
        <f>MAX($M$21:$M$37)</f>
        <v>1.2223423485374048E-3</v>
      </c>
      <c r="N40" s="67"/>
      <c r="O40" s="67"/>
      <c r="P40" s="67"/>
      <c r="Q40" s="67"/>
      <c r="R40" s="67">
        <f>MAX($R$21:$R$37)</f>
        <v>60.730993082934951</v>
      </c>
      <c r="S40" s="67">
        <f>MAX($S$21:$S$37)</f>
        <v>2157.2977495492805</v>
      </c>
      <c r="T40" s="67">
        <f>MAX($T$21:$T$37)</f>
        <v>2.809593448974123E-2</v>
      </c>
      <c r="U40" s="67">
        <f>MAX($U$21:$U$37)</f>
        <v>0.89222069236306933</v>
      </c>
    </row>
    <row r="41" spans="1:21" x14ac:dyDescent="0.2">
      <c r="B41" s="156" t="s">
        <v>13</v>
      </c>
      <c r="C41" s="156"/>
      <c r="D41" s="156"/>
      <c r="E41" s="125"/>
      <c r="F41" s="125"/>
      <c r="G41" s="125"/>
      <c r="H41" s="125"/>
      <c r="I41" s="125"/>
      <c r="J41" s="67">
        <f>MIN($J$21:$J$37)</f>
        <v>7.9800215476662772E-2</v>
      </c>
      <c r="K41" s="67">
        <f>MIN($K$21:$K$37)</f>
        <v>7.5640575769770471E-5</v>
      </c>
      <c r="L41" s="67">
        <f>MIN($L$21:$L$37)</f>
        <v>7.9982856987082258E-5</v>
      </c>
      <c r="M41" s="67">
        <f>MIN($M$21:$M$37)</f>
        <v>7.5813696665726976E-8</v>
      </c>
      <c r="N41" s="67"/>
      <c r="O41" s="67"/>
      <c r="P41" s="67"/>
      <c r="Q41" s="67"/>
      <c r="R41" s="67">
        <f>MIN($R$21:$R$37)</f>
        <v>0.44333453042590432</v>
      </c>
      <c r="S41" s="67">
        <f>MIN($S$21:$S$37)</f>
        <v>5.5212099102022245E-2</v>
      </c>
      <c r="T41" s="67">
        <f>MIN($T$21:$T$37)</f>
        <v>4.4434920548379033E-4</v>
      </c>
      <c r="U41" s="67">
        <f>MIN($U$21:$U$37)</f>
        <v>5.5338464719508742E-5</v>
      </c>
    </row>
    <row r="42" spans="1:21" x14ac:dyDescent="0.2">
      <c r="A42" s="74"/>
      <c r="B42" s="12"/>
      <c r="C42" s="12"/>
      <c r="D42" s="125" t="s">
        <v>84</v>
      </c>
      <c r="E42" s="12"/>
      <c r="F42" s="12"/>
      <c r="G42" s="12"/>
      <c r="H42" s="12"/>
      <c r="I42" s="12"/>
      <c r="J42" s="67">
        <f>_xlfn.PERCENTILE.INC(J$21:J$37,0.9)</f>
        <v>9.2001926566412102</v>
      </c>
      <c r="K42" s="67">
        <f>_xlfn.PERCENTILE.INC(K$21:K$37,0.9)</f>
        <v>7.9974181567702807E-2</v>
      </c>
      <c r="L42" s="67">
        <f>_xlfn.PERCENTILE.INC(L$21:L$37,0.9)</f>
        <v>3.299630560424145E-3</v>
      </c>
      <c r="M42" s="67">
        <f>_xlfn.PERCENTILE.INC(M$21:M$37,0.9)</f>
        <v>3.2741823987340494E-5</v>
      </c>
      <c r="N42" s="67"/>
      <c r="O42" s="67"/>
      <c r="P42" s="67"/>
      <c r="Q42" s="67"/>
      <c r="R42" s="67">
        <f>_xlfn.PERCENTILE.INC(R$21:R$37,0.9)</f>
        <v>51.112181425784499</v>
      </c>
      <c r="S42" s="67">
        <f>_xlfn.PERCENTILE.INC(S$21:S$37,0.9)</f>
        <v>58.37531501292176</v>
      </c>
      <c r="T42" s="67">
        <f>_xlfn.PERCENTILE.INC(T$21:T$37,0.9)</f>
        <v>1.833128089124525E-2</v>
      </c>
      <c r="U42" s="67">
        <f>_xlfn.PERCENTILE.INC(U$21:U$37,0.9)</f>
        <v>2.3899141596598904E-2</v>
      </c>
    </row>
    <row r="43" spans="1:21" x14ac:dyDescent="0.2">
      <c r="B43" s="12"/>
      <c r="C43" s="12"/>
      <c r="D43" s="125" t="s">
        <v>85</v>
      </c>
      <c r="E43" s="12"/>
      <c r="F43" s="12"/>
      <c r="G43" s="12"/>
      <c r="H43" s="12"/>
      <c r="I43" s="12"/>
      <c r="J43" s="67">
        <f>_xlfn.PERCENTILE.INC(J$21:J$37,0.8)</f>
        <v>7.2265442364203505</v>
      </c>
      <c r="K43" s="67">
        <f>_xlfn.PERCENTILE.INC(K$21:K$37,0.8)</f>
        <v>4.6015561644320392E-2</v>
      </c>
      <c r="L43" s="67">
        <f>_xlfn.PERCENTILE.INC(L$21:L$37,0.8)</f>
        <v>2.5162687296251085E-3</v>
      </c>
      <c r="M43" s="67">
        <f>_xlfn.PERCENTILE.INC(M$21:M$37,0.8)</f>
        <v>2.5756277517222366E-5</v>
      </c>
      <c r="N43" s="67"/>
      <c r="O43" s="67"/>
      <c r="P43" s="67"/>
      <c r="Q43" s="67"/>
      <c r="R43" s="67">
        <f>_xlfn.PERCENTILE.INC(R$21:R$37,0.8)</f>
        <v>40.147467980113056</v>
      </c>
      <c r="S43" s="67">
        <f>_xlfn.PERCENTILE.INC(S$21:S$37,0.8)</f>
        <v>33.588001200233869</v>
      </c>
      <c r="T43" s="67">
        <f>_xlfn.PERCENTILE.INC(T$21:T$37,0.8)</f>
        <v>1.3979270720139492E-2</v>
      </c>
      <c r="U43" s="67">
        <f>_xlfn.PERCENTILE.INC(U$21:U$37,0.8)</f>
        <v>1.8800202567315596E-2</v>
      </c>
    </row>
    <row r="44" spans="1:21" x14ac:dyDescent="0.2">
      <c r="B44" s="12"/>
      <c r="C44" s="12"/>
      <c r="D44" s="125" t="s">
        <v>86</v>
      </c>
      <c r="E44" s="12"/>
      <c r="F44" s="12"/>
      <c r="G44" s="12"/>
      <c r="H44" s="12"/>
      <c r="I44" s="12"/>
      <c r="J44" s="67">
        <f>_xlfn.PERCENTILE.INC(J$21:J$37,0.75)</f>
        <v>5.302767947636517</v>
      </c>
      <c r="K44" s="67">
        <f>_xlfn.PERCENTILE.INC(K$21:K$37,0.75)</f>
        <v>4.5696451375391439E-2</v>
      </c>
      <c r="L44" s="67">
        <f>_xlfn.PERCENTILE.INC(L$21:L$37,0.75)</f>
        <v>2.229427039066873E-3</v>
      </c>
      <c r="M44" s="67">
        <f>_xlfn.PERCENTILE.INC(M$21:M$37,0.75)</f>
        <v>2.545164777358086E-5</v>
      </c>
      <c r="N44" s="67"/>
      <c r="O44" s="67"/>
      <c r="P44" s="67"/>
      <c r="Q44" s="67"/>
      <c r="R44" s="67">
        <f>_xlfn.PERCENTILE.INC(R$21:R$37,0.75)</f>
        <v>29.459821931313986</v>
      </c>
      <c r="S44" s="67">
        <f>_xlfn.PERCENTILE.INC(S$21:S$37,0.75)</f>
        <v>33.355073996636087</v>
      </c>
      <c r="T44" s="67">
        <f>_xlfn.PERCENTILE.INC(T$21:T$37,0.75)</f>
        <v>1.2385705772593739E-2</v>
      </c>
      <c r="U44" s="67">
        <f>_xlfn.PERCENTILE.INC(U$21:U$37,0.75)</f>
        <v>1.8577845090205009E-2</v>
      </c>
    </row>
    <row r="45" spans="1:21" x14ac:dyDescent="0.2">
      <c r="B45" s="12"/>
      <c r="C45" s="12"/>
      <c r="D45" s="125" t="s">
        <v>87</v>
      </c>
      <c r="E45" s="12"/>
      <c r="F45" s="12"/>
      <c r="G45" s="12"/>
      <c r="H45" s="12"/>
      <c r="I45" s="12"/>
      <c r="J45" s="67">
        <f>_xlfn.PERCENTILE.INC(J$21:J$37,0.5)</f>
        <v>2.543557380742282</v>
      </c>
      <c r="K45" s="67">
        <f>_xlfn.PERCENTILE.INC(K$21:K$37,0.5)</f>
        <v>1.702241694230467E-2</v>
      </c>
      <c r="L45" s="67">
        <f>_xlfn.PERCENTILE.INC(L$21:L$37,0.5)</f>
        <v>1.09582775060655E-3</v>
      </c>
      <c r="M45" s="67">
        <f>_xlfn.PERCENTILE.INC(M$21:M$37,0.5)</f>
        <v>7.9254019896355295E-6</v>
      </c>
      <c r="N45" s="67"/>
      <c r="O45" s="67"/>
      <c r="P45" s="67"/>
      <c r="Q45" s="67"/>
      <c r="R45" s="67">
        <f>_xlfn.PERCENTILE.INC(R$21:R$37,0.5)</f>
        <v>14.130874337457122</v>
      </c>
      <c r="S45" s="67">
        <f>_xlfn.PERCENTILE.INC(S$21:S$37,0.5)</f>
        <v>12.42512185569684</v>
      </c>
      <c r="T45" s="67">
        <f>_xlfn.PERCENTILE.INC(T$21:T$37,0.5)</f>
        <v>6.087931947814167E-3</v>
      </c>
      <c r="U45" s="67">
        <f>_xlfn.PERCENTILE.INC(U$21:U$37,0.5)</f>
        <v>5.7849649559383433E-3</v>
      </c>
    </row>
    <row r="46" spans="1:21" x14ac:dyDescent="0.2">
      <c r="B46" s="12"/>
      <c r="C46" s="12"/>
      <c r="D46" s="125" t="s">
        <v>88</v>
      </c>
      <c r="E46" s="12"/>
      <c r="F46" s="12"/>
      <c r="G46" s="12"/>
      <c r="H46" s="12"/>
      <c r="I46" s="12"/>
      <c r="J46" s="67">
        <f>_xlfn.PERCENTILE.INC(J$21:J$37,0.25)</f>
        <v>1.1578625712153854</v>
      </c>
      <c r="K46" s="67">
        <f>_xlfn.PERCENTILE.INC(K$21:K$37,0.25)</f>
        <v>6.4201491115225551E-3</v>
      </c>
      <c r="L46" s="67">
        <f>_xlfn.PERCENTILE.INC(L$21:L$37,0.25)</f>
        <v>6.8049843132382667E-4</v>
      </c>
      <c r="M46" s="67">
        <f>_xlfn.PERCENTILE.INC(M$21:M$37,0.25)</f>
        <v>1.7068287195065407E-6</v>
      </c>
      <c r="N46" s="67"/>
      <c r="O46" s="67"/>
      <c r="P46" s="67"/>
      <c r="Q46" s="67"/>
      <c r="R46" s="67">
        <f>_xlfn.PERCENTILE.INC(R$21:R$37,0.25)</f>
        <v>6.4325698400854749</v>
      </c>
      <c r="S46" s="67">
        <f>_xlfn.PERCENTILE.INC(S$21:S$37,0.25)</f>
        <v>4.6862402273887263</v>
      </c>
      <c r="T46" s="67">
        <f>_xlfn.PERCENTILE.INC(T$21:T$37,0.25)</f>
        <v>3.780546840687926E-3</v>
      </c>
      <c r="U46" s="67">
        <f>_xlfn.PERCENTILE.INC(U$21:U$37,0.25)</f>
        <v>1.2458603792018547E-3</v>
      </c>
    </row>
    <row r="47" spans="1:21" x14ac:dyDescent="0.2">
      <c r="B47" s="12"/>
      <c r="C47" s="12"/>
      <c r="D47" s="125" t="s">
        <v>89</v>
      </c>
      <c r="E47" s="12"/>
      <c r="F47" s="12"/>
      <c r="G47" s="12"/>
      <c r="H47" s="12"/>
      <c r="I47" s="12"/>
      <c r="J47" s="67">
        <f>_xlfn.PERCENTILE.INC(J$21:J$37,0.1)</f>
        <v>0.58254960514149934</v>
      </c>
      <c r="K47" s="67">
        <f>_xlfn.PERCENTILE.INC(K$21:K$37,0.1)</f>
        <v>1.7461926582609526E-3</v>
      </c>
      <c r="L47" s="67">
        <f>_xlfn.PERCENTILE.INC(L$21:L$37,0.1)</f>
        <v>2.3971046124190764E-4</v>
      </c>
      <c r="M47" s="67">
        <f>_xlfn.PERCENTILE.INC(M$21:M$37,0.1)</f>
        <v>5.9530145885408146E-7</v>
      </c>
      <c r="N47" s="67"/>
      <c r="O47" s="67"/>
      <c r="P47" s="67"/>
      <c r="Q47" s="67"/>
      <c r="R47" s="67">
        <f>_xlfn.PERCENTILE.INC(R$21:R$37,0.1)</f>
        <v>3.2363866952305522</v>
      </c>
      <c r="S47" s="67">
        <f>_xlfn.PERCENTILE.INC(S$21:S$37,0.1)</f>
        <v>1.2745931812123743</v>
      </c>
      <c r="T47" s="67">
        <f>_xlfn.PERCENTILE.INC(T$21:T$37,0.1)</f>
        <v>1.3317247846772648E-3</v>
      </c>
      <c r="U47" s="67">
        <f>_xlfn.PERCENTILE.INC(U$21:U$37,0.1)</f>
        <v>4.3452661230224929E-4</v>
      </c>
    </row>
    <row r="52" spans="12:12" x14ac:dyDescent="0.2">
      <c r="L52" s="131" t="s">
        <v>161</v>
      </c>
    </row>
  </sheetData>
  <mergeCells count="13">
    <mergeCell ref="B40:D40"/>
    <mergeCell ref="B41:D41"/>
    <mergeCell ref="B39:D39"/>
    <mergeCell ref="B2:Q2"/>
    <mergeCell ref="B4:G4"/>
    <mergeCell ref="J4:P4"/>
    <mergeCell ref="B13:G13"/>
    <mergeCell ref="B19:U19"/>
    <mergeCell ref="N21:N37"/>
    <mergeCell ref="O21:O37"/>
    <mergeCell ref="P21:P37"/>
    <mergeCell ref="Q21:Q37"/>
    <mergeCell ref="B38:D38"/>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6">
    <tabColor rgb="FF002060"/>
  </sheetPr>
  <dimension ref="B2:M39"/>
  <sheetViews>
    <sheetView zoomScale="90" zoomScaleNormal="90"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57" t="s">
        <v>90</v>
      </c>
      <c r="C2" s="157"/>
      <c r="D2" s="157"/>
      <c r="E2" s="157"/>
      <c r="F2" s="157"/>
      <c r="G2" s="157"/>
      <c r="H2" s="157"/>
      <c r="I2" s="157"/>
      <c r="J2" s="157"/>
      <c r="K2" s="157"/>
      <c r="L2" s="157"/>
      <c r="M2" s="157"/>
    </row>
    <row r="3" spans="2:13" ht="13.5" thickTop="1" x14ac:dyDescent="0.2">
      <c r="B3" s="113" t="str">
        <f>Tooltype</f>
        <v>Calculator tool for the German scenario for inland water marinas</v>
      </c>
    </row>
    <row r="4" spans="2:13" ht="18" thickBot="1" x14ac:dyDescent="0.35">
      <c r="B4" s="6" t="s">
        <v>0</v>
      </c>
    </row>
    <row r="5" spans="2:13" ht="13.5" thickTop="1" x14ac:dyDescent="0.2"/>
    <row r="6" spans="2:13" x14ac:dyDescent="0.2">
      <c r="B6" s="1" t="s">
        <v>1</v>
      </c>
      <c r="C6" s="50" t="s">
        <v>143</v>
      </c>
    </row>
    <row r="9" spans="2:13" x14ac:dyDescent="0.2">
      <c r="B9" s="42"/>
    </row>
    <row r="12" spans="2:13" x14ac:dyDescent="0.2">
      <c r="D12" s="2"/>
    </row>
    <row r="14" spans="2:13" ht="15" x14ac:dyDescent="0.25">
      <c r="B14" s="3"/>
    </row>
    <row r="16" spans="2:13" x14ac:dyDescent="0.2">
      <c r="D16" s="2"/>
    </row>
    <row r="18" spans="2:2" ht="15" x14ac:dyDescent="0.25">
      <c r="B18" s="3"/>
    </row>
    <row r="19" spans="2:2" ht="15" x14ac:dyDescent="0.25">
      <c r="B19" s="3"/>
    </row>
    <row r="20" spans="2:2" ht="15" x14ac:dyDescent="0.25">
      <c r="B20" s="3"/>
    </row>
    <row r="21" spans="2:2" ht="15" x14ac:dyDescent="0.25">
      <c r="B21" s="3"/>
    </row>
    <row r="27" spans="2:2" ht="15" x14ac:dyDescent="0.25">
      <c r="B27" s="3"/>
    </row>
    <row r="33" spans="2:4" ht="15" x14ac:dyDescent="0.25">
      <c r="B33" s="3"/>
    </row>
    <row r="34" spans="2:4" x14ac:dyDescent="0.2">
      <c r="B34" s="4"/>
    </row>
    <row r="35" spans="2:4" x14ac:dyDescent="0.2">
      <c r="B35" s="4"/>
    </row>
    <row r="36" spans="2:4" x14ac:dyDescent="0.2">
      <c r="B36" s="4"/>
      <c r="D36" s="2"/>
    </row>
    <row r="38" spans="2:4" ht="15" x14ac:dyDescent="0.25">
      <c r="B38" s="3"/>
    </row>
    <row r="39" spans="2:4" ht="15" x14ac:dyDescent="0.25">
      <c r="D39" s="5"/>
    </row>
  </sheetData>
  <mergeCells count="1">
    <mergeCell ref="B2:M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2060"/>
  </sheetPr>
  <dimension ref="B2:M39"/>
  <sheetViews>
    <sheetView zoomScale="90" zoomScaleNormal="90" workbookViewId="0">
      <selection activeCell="P33" sqref="P33"/>
    </sheetView>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57" t="s">
        <v>90</v>
      </c>
      <c r="C2" s="157"/>
      <c r="D2" s="157"/>
      <c r="E2" s="157"/>
      <c r="F2" s="157"/>
      <c r="G2" s="157"/>
      <c r="H2" s="157"/>
      <c r="I2" s="157"/>
      <c r="J2" s="157"/>
      <c r="K2" s="157"/>
      <c r="L2" s="157"/>
      <c r="M2" s="157"/>
    </row>
    <row r="3" spans="2:13" ht="13.5" thickTop="1" x14ac:dyDescent="0.2">
      <c r="B3" s="113" t="str">
        <f>Tooltype</f>
        <v>Calculator tool for the German scenario for inland water marinas</v>
      </c>
    </row>
    <row r="4" spans="2:13" ht="18" thickBot="1" x14ac:dyDescent="0.35">
      <c r="B4" s="6" t="s">
        <v>0</v>
      </c>
    </row>
    <row r="5" spans="2:13" ht="13.5" thickTop="1" x14ac:dyDescent="0.2"/>
    <row r="6" spans="2:13" x14ac:dyDescent="0.2">
      <c r="B6" s="1" t="s">
        <v>1</v>
      </c>
      <c r="C6" s="50" t="s">
        <v>144</v>
      </c>
    </row>
    <row r="9" spans="2:13" x14ac:dyDescent="0.2">
      <c r="B9" s="42"/>
    </row>
    <row r="12" spans="2:13" x14ac:dyDescent="0.2">
      <c r="D12" s="2"/>
    </row>
    <row r="14" spans="2:13" ht="15" x14ac:dyDescent="0.25">
      <c r="B14" s="3"/>
    </row>
    <row r="16" spans="2:13" x14ac:dyDescent="0.2">
      <c r="D16" s="2"/>
    </row>
    <row r="18" spans="2:2" ht="15" x14ac:dyDescent="0.25">
      <c r="B18" s="3"/>
    </row>
    <row r="19" spans="2:2" ht="15" x14ac:dyDescent="0.25">
      <c r="B19" s="3"/>
    </row>
    <row r="20" spans="2:2" ht="15" x14ac:dyDescent="0.25">
      <c r="B20" s="3"/>
    </row>
    <row r="21" spans="2:2" ht="15" x14ac:dyDescent="0.25">
      <c r="B21" s="3"/>
    </row>
    <row r="27" spans="2:2" ht="15" x14ac:dyDescent="0.25">
      <c r="B27" s="3"/>
    </row>
    <row r="33" spans="2:4" ht="15" x14ac:dyDescent="0.25">
      <c r="B33" s="3"/>
    </row>
    <row r="34" spans="2:4" x14ac:dyDescent="0.2">
      <c r="B34" s="4"/>
    </row>
    <row r="35" spans="2:4" x14ac:dyDescent="0.2">
      <c r="B35" s="4"/>
    </row>
    <row r="36" spans="2:4" x14ac:dyDescent="0.2">
      <c r="B36" s="4"/>
      <c r="D36" s="2"/>
    </row>
    <row r="38" spans="2:4" ht="15" x14ac:dyDescent="0.25">
      <c r="B38" s="3"/>
    </row>
    <row r="39" spans="2:4" ht="15" x14ac:dyDescent="0.25">
      <c r="D39" s="5"/>
    </row>
  </sheetData>
  <mergeCells count="1">
    <mergeCell ref="B2: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90" zoomScaleNormal="90" workbookViewId="0">
      <selection activeCell="B11" sqref="B11:Z11"/>
    </sheetView>
  </sheetViews>
  <sheetFormatPr baseColWidth="10" defaultColWidth="9" defaultRowHeight="12.75" x14ac:dyDescent="0.2"/>
  <cols>
    <col min="1" max="1" width="9" style="1"/>
    <col min="2" max="2" width="9" style="1" customWidth="1"/>
    <col min="3" max="16384" width="9" style="1"/>
  </cols>
  <sheetData>
    <row r="2" spans="2:26" ht="21" customHeight="1" thickBot="1" x14ac:dyDescent="0.25">
      <c r="B2" s="141" t="s">
        <v>106</v>
      </c>
      <c r="C2" s="141"/>
      <c r="D2" s="141"/>
      <c r="E2" s="141"/>
      <c r="F2" s="141"/>
      <c r="G2" s="141"/>
      <c r="H2" s="141"/>
      <c r="I2" s="141"/>
      <c r="J2" s="141"/>
    </row>
    <row r="3" spans="2:26" ht="13.5" thickTop="1" x14ac:dyDescent="0.2"/>
    <row r="5" spans="2:26" ht="27.95" customHeight="1" x14ac:dyDescent="0.2">
      <c r="B5" s="140" t="s">
        <v>168</v>
      </c>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2:26" x14ac:dyDescent="0.2">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2:26" ht="12.75" customHeight="1" x14ac:dyDescent="0.2">
      <c r="B7" s="140" t="s">
        <v>147</v>
      </c>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2:26" x14ac:dyDescent="0.2">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2:26" ht="12.75" customHeight="1" x14ac:dyDescent="0.2">
      <c r="B9" s="140" t="s">
        <v>148</v>
      </c>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2:26" x14ac:dyDescent="0.2">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2:26" ht="27.95" customHeight="1" x14ac:dyDescent="0.2">
      <c r="B11" s="140" t="s">
        <v>157</v>
      </c>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2:26" x14ac:dyDescent="0.2">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2:26" ht="27.95" customHeight="1" x14ac:dyDescent="0.2">
      <c r="B13" s="140" t="s">
        <v>169</v>
      </c>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4" spans="2:26" x14ac:dyDescent="0.2">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row>
    <row r="15" spans="2:26" ht="27.95" customHeight="1" x14ac:dyDescent="0.2">
      <c r="B15" s="140" t="s">
        <v>158</v>
      </c>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2:26" x14ac:dyDescent="0.2">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row>
    <row r="17" spans="2:26" ht="27.95" customHeight="1" x14ac:dyDescent="0.2">
      <c r="B17" s="140" t="s">
        <v>149</v>
      </c>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2:26" x14ac:dyDescent="0.2">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row>
    <row r="19" spans="2:26" ht="27.95" customHeight="1" x14ac:dyDescent="0.2">
      <c r="B19" s="140" t="s">
        <v>150</v>
      </c>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row>
    <row r="20" spans="2:26" x14ac:dyDescent="0.2">
      <c r="B20" s="140"/>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row>
    <row r="21" spans="2:26" ht="27.95" customHeight="1" x14ac:dyDescent="0.2">
      <c r="B21" s="140" t="s">
        <v>151</v>
      </c>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row>
    <row r="22" spans="2:26" x14ac:dyDescent="0.2">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row r="23" spans="2:26" ht="27.95" customHeight="1" x14ac:dyDescent="0.2">
      <c r="B23" s="140" t="s">
        <v>170</v>
      </c>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row>
    <row r="24" spans="2:26" x14ac:dyDescent="0.2">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row>
    <row r="25" spans="2:26" ht="12.75" customHeight="1" x14ac:dyDescent="0.2">
      <c r="B25" s="140" t="s">
        <v>152</v>
      </c>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row>
    <row r="26" spans="2:26" x14ac:dyDescent="0.2">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row r="27" spans="2:26" ht="27.95" customHeight="1" x14ac:dyDescent="0.2">
      <c r="B27" s="140" t="s">
        <v>153</v>
      </c>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row>
  </sheetData>
  <mergeCells count="24">
    <mergeCell ref="B2:J2"/>
    <mergeCell ref="B5:Z5"/>
    <mergeCell ref="B6:Z6"/>
    <mergeCell ref="B7:Z7"/>
    <mergeCell ref="B8:Z8"/>
    <mergeCell ref="B9:Z9"/>
    <mergeCell ref="B10:Z10"/>
    <mergeCell ref="B11:Z11"/>
    <mergeCell ref="B12:Z12"/>
    <mergeCell ref="B13:Z13"/>
    <mergeCell ref="B14:Z14"/>
    <mergeCell ref="B15:Z15"/>
    <mergeCell ref="B16:Z16"/>
    <mergeCell ref="B17:Z17"/>
    <mergeCell ref="B18:Z18"/>
    <mergeCell ref="B19:Z19"/>
    <mergeCell ref="B20:Z20"/>
    <mergeCell ref="B21:Z21"/>
    <mergeCell ref="B27:Z27"/>
    <mergeCell ref="B22:Z22"/>
    <mergeCell ref="B23:Z23"/>
    <mergeCell ref="B24:Z24"/>
    <mergeCell ref="B25:Z25"/>
    <mergeCell ref="B26:Z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80"/>
  <sheetViews>
    <sheetView zoomScale="90" zoomScaleNormal="90" workbookViewId="0">
      <selection activeCell="H12" sqref="H12"/>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42" t="s">
        <v>57</v>
      </c>
      <c r="C2" s="142"/>
      <c r="D2" s="142"/>
      <c r="E2" s="142"/>
      <c r="F2" s="142"/>
      <c r="G2" s="142"/>
      <c r="H2" s="142"/>
      <c r="I2" s="142"/>
      <c r="J2" s="142"/>
      <c r="K2" s="142"/>
      <c r="L2" s="142"/>
    </row>
    <row r="3" spans="2:12" ht="13.5" thickTop="1" x14ac:dyDescent="0.2">
      <c r="B3" s="118" t="str">
        <f>Tooltype</f>
        <v>Calculator tool for the German scenario for inland water marinas</v>
      </c>
    </row>
    <row r="4" spans="2:12" x14ac:dyDescent="0.2"/>
    <row r="5" spans="2:12" ht="21" thickBot="1" x14ac:dyDescent="0.35">
      <c r="B5" s="115" t="s">
        <v>10</v>
      </c>
      <c r="G5" s="142" t="s">
        <v>64</v>
      </c>
      <c r="H5" s="142"/>
    </row>
    <row r="6" spans="2:12" ht="15" customHeight="1" thickTop="1" x14ac:dyDescent="0.2">
      <c r="B6" s="116" t="str">
        <f>Z_Compound_Name</f>
        <v>Zineb</v>
      </c>
      <c r="F6" s="47"/>
    </row>
    <row r="7" spans="2:12" x14ac:dyDescent="0.2">
      <c r="F7" s="47"/>
      <c r="G7" s="110" t="s">
        <v>64</v>
      </c>
      <c r="H7" s="76">
        <v>0.9</v>
      </c>
    </row>
    <row r="8" spans="2:12" x14ac:dyDescent="0.2">
      <c r="F8" s="47"/>
    </row>
    <row r="9" spans="2:12" ht="21" thickBot="1" x14ac:dyDescent="0.35">
      <c r="B9" s="142" t="s">
        <v>56</v>
      </c>
      <c r="C9" s="142"/>
      <c r="D9" s="142"/>
      <c r="E9" s="43"/>
      <c r="F9" s="47"/>
      <c r="G9" s="33" t="s">
        <v>49</v>
      </c>
    </row>
    <row r="10" spans="2:12" ht="12.75" customHeight="1" thickTop="1" thickBot="1" x14ac:dyDescent="0.25">
      <c r="B10" s="47"/>
      <c r="C10" s="47"/>
      <c r="D10" s="47"/>
      <c r="E10" s="47"/>
      <c r="F10" s="47"/>
    </row>
    <row r="11" spans="2:12" ht="26.25" customHeight="1" thickBot="1" x14ac:dyDescent="0.25">
      <c r="B11" s="47"/>
      <c r="C11" s="117" t="s">
        <v>68</v>
      </c>
      <c r="D11" s="117" t="s">
        <v>69</v>
      </c>
      <c r="E11" s="47"/>
      <c r="G11" s="108" t="s">
        <v>62</v>
      </c>
      <c r="H11" s="77">
        <v>2.5</v>
      </c>
      <c r="I11" s="34" t="s">
        <v>92</v>
      </c>
      <c r="J11" s="109" t="s">
        <v>63</v>
      </c>
    </row>
    <row r="12" spans="2:12" x14ac:dyDescent="0.2">
      <c r="B12" s="110" t="s">
        <v>3</v>
      </c>
      <c r="C12" s="76">
        <v>0.219</v>
      </c>
      <c r="D12" s="76">
        <v>0.219</v>
      </c>
      <c r="E12" s="111" t="s">
        <v>95</v>
      </c>
    </row>
    <row r="13" spans="2:12" x14ac:dyDescent="0.2">
      <c r="B13" s="110" t="s">
        <v>4</v>
      </c>
      <c r="C13" s="76">
        <v>4.5499999999999999E-2</v>
      </c>
      <c r="D13" s="76">
        <v>4.5499999999999999E-2</v>
      </c>
      <c r="E13" s="111" t="s">
        <v>96</v>
      </c>
    </row>
    <row r="14" spans="2:12" x14ac:dyDescent="0.2"/>
    <row r="15" spans="2:12" ht="21" thickBot="1" x14ac:dyDescent="0.35">
      <c r="B15" s="142" t="s">
        <v>54</v>
      </c>
      <c r="C15" s="142"/>
      <c r="D15" s="142"/>
      <c r="E15" s="43"/>
      <c r="G15" s="40" t="s">
        <v>20</v>
      </c>
      <c r="H15" s="40"/>
      <c r="I15" s="40"/>
      <c r="J15" s="40"/>
      <c r="K15" s="40"/>
      <c r="L15" s="40"/>
    </row>
    <row r="16" spans="2:12" ht="14.25" thickTop="1" thickBot="1" x14ac:dyDescent="0.25">
      <c r="B16" s="41"/>
    </row>
    <row r="17" spans="2:12" ht="18" thickBot="1" x14ac:dyDescent="0.35">
      <c r="B17" s="146" t="s">
        <v>91</v>
      </c>
      <c r="C17" s="146"/>
      <c r="D17" s="146"/>
      <c r="E17" s="44"/>
      <c r="G17" s="37" t="s">
        <v>14</v>
      </c>
      <c r="H17" s="38"/>
      <c r="I17" s="38"/>
      <c r="J17" s="38"/>
      <c r="K17" s="38"/>
      <c r="L17" s="39"/>
    </row>
    <row r="18" spans="2:12" ht="13.5" thickTop="1" x14ac:dyDescent="0.2">
      <c r="B18" s="41"/>
      <c r="G18" s="16"/>
      <c r="H18" s="13"/>
      <c r="I18" s="13"/>
      <c r="J18" s="13"/>
      <c r="K18" s="13"/>
      <c r="L18" s="17"/>
    </row>
    <row r="19" spans="2:12" ht="25.5" x14ac:dyDescent="0.2">
      <c r="B19" s="110" t="s">
        <v>55</v>
      </c>
      <c r="C19" s="76">
        <v>0</v>
      </c>
      <c r="D19" s="89" t="s">
        <v>95</v>
      </c>
      <c r="E19" s="45"/>
      <c r="G19" s="112" t="s">
        <v>15</v>
      </c>
      <c r="H19" s="8" t="s">
        <v>16</v>
      </c>
      <c r="I19" s="8" t="s">
        <v>17</v>
      </c>
      <c r="J19" s="8" t="s">
        <v>18</v>
      </c>
      <c r="K19" s="8" t="s">
        <v>21</v>
      </c>
      <c r="L19" s="9" t="s">
        <v>19</v>
      </c>
    </row>
    <row r="20" spans="2:12" x14ac:dyDescent="0.2">
      <c r="B20" s="110" t="s">
        <v>4</v>
      </c>
      <c r="C20" s="76">
        <v>0</v>
      </c>
      <c r="D20" s="89" t="s">
        <v>96</v>
      </c>
      <c r="E20" s="45"/>
      <c r="G20" s="16"/>
      <c r="H20" s="13"/>
      <c r="I20" s="13"/>
      <c r="J20" s="13"/>
      <c r="K20" s="13"/>
      <c r="L20" s="17"/>
    </row>
    <row r="21" spans="2:12" ht="25.5" x14ac:dyDescent="0.2">
      <c r="B21"/>
      <c r="C21"/>
      <c r="D21"/>
      <c r="E21"/>
      <c r="G21" s="27" t="s">
        <v>22</v>
      </c>
      <c r="H21" s="21" t="s">
        <v>23</v>
      </c>
      <c r="I21" s="36"/>
      <c r="J21" s="23" t="s">
        <v>43</v>
      </c>
      <c r="K21" s="18" t="s">
        <v>45</v>
      </c>
      <c r="L21" s="11"/>
    </row>
    <row r="22" spans="2:12" x14ac:dyDescent="0.2">
      <c r="B22"/>
      <c r="C22"/>
      <c r="D22"/>
      <c r="E22"/>
      <c r="G22" s="27" t="s">
        <v>26</v>
      </c>
      <c r="H22" s="21" t="s">
        <v>24</v>
      </c>
      <c r="I22" s="36"/>
      <c r="J22" s="23" t="s">
        <v>2</v>
      </c>
      <c r="K22" s="18" t="s">
        <v>46</v>
      </c>
      <c r="L22" s="11"/>
    </row>
    <row r="23" spans="2:12" ht="29.25" customHeight="1" x14ac:dyDescent="0.2">
      <c r="B23"/>
      <c r="C23"/>
      <c r="D23"/>
      <c r="E23"/>
      <c r="G23" s="27" t="s">
        <v>27</v>
      </c>
      <c r="H23" s="21" t="s">
        <v>25</v>
      </c>
      <c r="I23" s="36"/>
      <c r="J23" s="23" t="s">
        <v>28</v>
      </c>
      <c r="K23" s="18" t="s">
        <v>46</v>
      </c>
      <c r="L23" s="11"/>
    </row>
    <row r="24" spans="2:12" ht="15" x14ac:dyDescent="0.2">
      <c r="B24"/>
      <c r="C24"/>
      <c r="D24"/>
      <c r="E24"/>
      <c r="G24" s="27" t="s">
        <v>29</v>
      </c>
      <c r="H24" s="22" t="s">
        <v>30</v>
      </c>
      <c r="I24" s="36"/>
      <c r="J24" s="23" t="s">
        <v>94</v>
      </c>
      <c r="K24" s="18" t="s">
        <v>46</v>
      </c>
      <c r="L24" s="11"/>
    </row>
    <row r="25" spans="2:12" x14ac:dyDescent="0.2">
      <c r="B25"/>
      <c r="C25"/>
      <c r="D25"/>
      <c r="E25"/>
      <c r="G25" s="27" t="s">
        <v>37</v>
      </c>
      <c r="H25" s="21" t="s">
        <v>31</v>
      </c>
      <c r="I25" s="36"/>
      <c r="J25" s="23" t="s">
        <v>93</v>
      </c>
      <c r="K25" s="18" t="s">
        <v>46</v>
      </c>
      <c r="L25" s="11"/>
    </row>
    <row r="26" spans="2:12" ht="29.25" customHeight="1" x14ac:dyDescent="0.2">
      <c r="B26"/>
      <c r="C26"/>
      <c r="D26"/>
      <c r="E26"/>
      <c r="G26" s="27" t="s">
        <v>107</v>
      </c>
      <c r="H26" s="21" t="s">
        <v>32</v>
      </c>
      <c r="I26" s="36"/>
      <c r="J26" s="23" t="s">
        <v>40</v>
      </c>
      <c r="K26" s="18" t="s">
        <v>46</v>
      </c>
      <c r="L26" s="11"/>
    </row>
    <row r="27" spans="2:12" x14ac:dyDescent="0.2">
      <c r="B27"/>
      <c r="C27"/>
      <c r="D27"/>
      <c r="E27"/>
      <c r="G27" s="27" t="s">
        <v>38</v>
      </c>
      <c r="H27" s="21" t="s">
        <v>33</v>
      </c>
      <c r="I27" s="36"/>
      <c r="J27" s="23" t="s">
        <v>39</v>
      </c>
      <c r="K27" s="18" t="s">
        <v>46</v>
      </c>
      <c r="L27" s="11"/>
    </row>
    <row r="28" spans="2:12" ht="15.75" thickBot="1" x14ac:dyDescent="0.25">
      <c r="B28"/>
      <c r="C28"/>
      <c r="D28"/>
      <c r="E28"/>
      <c r="G28" s="143" t="s">
        <v>34</v>
      </c>
      <c r="H28" s="144"/>
      <c r="I28" s="144"/>
      <c r="J28" s="144"/>
      <c r="K28" s="144"/>
      <c r="L28" s="145"/>
    </row>
    <row r="29" spans="2:12" ht="54" customHeight="1" thickTop="1" thickBot="1" x14ac:dyDescent="0.3">
      <c r="B29"/>
      <c r="C29"/>
      <c r="D29"/>
      <c r="E29"/>
      <c r="G29" s="27" t="s">
        <v>41</v>
      </c>
      <c r="H29" s="20" t="s">
        <v>35</v>
      </c>
      <c r="I29" s="29" t="e">
        <f>(Z_La*Z_a*Z_Wa*Z_ƿ*Z_DFT)/Z_VS</f>
        <v>#DIV/0!</v>
      </c>
      <c r="J29" s="23" t="s">
        <v>97</v>
      </c>
      <c r="K29" s="18" t="s">
        <v>44</v>
      </c>
      <c r="L29" s="11"/>
    </row>
    <row r="30" spans="2:12" ht="57.75" customHeight="1" thickTop="1" thickBot="1" x14ac:dyDescent="0.25">
      <c r="B30"/>
      <c r="C30"/>
      <c r="D30"/>
      <c r="E30"/>
      <c r="G30" s="26" t="s">
        <v>42</v>
      </c>
      <c r="H30" s="25" t="s">
        <v>36</v>
      </c>
      <c r="I30" s="30" t="e">
        <f>0.0329*(Z_Mrel/Z_t)</f>
        <v>#DIV/0!</v>
      </c>
      <c r="J30" s="24" t="s">
        <v>92</v>
      </c>
      <c r="K30" s="28" t="s">
        <v>44</v>
      </c>
      <c r="L30" s="19"/>
    </row>
    <row r="31" spans="2:12" x14ac:dyDescent="0.2">
      <c r="G31" s="14"/>
      <c r="H31" s="15"/>
    </row>
    <row r="32" spans="2:12" x14ac:dyDescent="0.2">
      <c r="G32" s="14"/>
      <c r="H32" s="15"/>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4"/>
      <c r="C40" s="15"/>
    </row>
    <row r="41" spans="2:7" ht="12.75" hidden="1" customHeight="1" x14ac:dyDescent="0.2">
      <c r="B41" s="14"/>
      <c r="C41" s="15"/>
      <c r="E41" s="41"/>
      <c r="G41" s="41"/>
    </row>
    <row r="42" spans="2:7" ht="12.75" hidden="1" customHeight="1" x14ac:dyDescent="0.2">
      <c r="B42" s="41"/>
      <c r="C42" s="41"/>
      <c r="D42" s="41"/>
      <c r="E42" s="41"/>
      <c r="G42" s="31"/>
    </row>
    <row r="43" spans="2:7" ht="41.25" hidden="1" customHeight="1" x14ac:dyDescent="0.2">
      <c r="B43" s="41"/>
      <c r="C43" s="41"/>
      <c r="D43" s="41"/>
      <c r="F43" s="41"/>
      <c r="G43" s="31"/>
    </row>
    <row r="44" spans="2:7" ht="12.75" hidden="1" customHeight="1" x14ac:dyDescent="0.2">
      <c r="F44" s="31"/>
      <c r="G44" s="31"/>
    </row>
    <row r="45" spans="2:7" ht="12.75" hidden="1" customHeight="1" x14ac:dyDescent="0.2">
      <c r="F45" s="31"/>
      <c r="G45" s="31"/>
    </row>
    <row r="46" spans="2:7" ht="12.75" hidden="1" customHeight="1" x14ac:dyDescent="0.2">
      <c r="E46" s="41"/>
      <c r="F46" s="31"/>
      <c r="G46" s="31"/>
    </row>
    <row r="47" spans="2:7" ht="12.75" hidden="1" customHeight="1" x14ac:dyDescent="0.2">
      <c r="B47" s="41"/>
      <c r="C47" s="41"/>
      <c r="D47" s="41"/>
      <c r="E47" s="41"/>
      <c r="F47" s="31"/>
      <c r="G47" s="31"/>
    </row>
    <row r="48" spans="2:7" ht="12.75" hidden="1" customHeight="1" x14ac:dyDescent="0.2">
      <c r="B48" s="41"/>
      <c r="C48" s="41"/>
      <c r="D48" s="41"/>
      <c r="E48" s="41"/>
      <c r="F48" s="31"/>
      <c r="G48" s="31"/>
    </row>
    <row r="49" spans="2:7" ht="12.75" hidden="1" customHeight="1" x14ac:dyDescent="0.2">
      <c r="B49" s="41"/>
      <c r="C49" s="41"/>
      <c r="D49" s="41"/>
      <c r="E49" s="41"/>
      <c r="F49" s="31"/>
      <c r="G49" s="41"/>
    </row>
    <row r="50" spans="2:7" ht="12.75" hidden="1" customHeight="1" x14ac:dyDescent="0.2">
      <c r="B50" s="41"/>
      <c r="C50" s="41"/>
      <c r="D50" s="41"/>
      <c r="E50" s="41"/>
      <c r="F50" s="31"/>
      <c r="G50" s="31"/>
    </row>
    <row r="51" spans="2:7" ht="12.75" hidden="1" customHeight="1" x14ac:dyDescent="0.2">
      <c r="B51" s="41"/>
      <c r="C51" s="41"/>
      <c r="D51" s="41"/>
      <c r="E51" s="41"/>
      <c r="F51" s="41"/>
      <c r="G51" s="31"/>
    </row>
    <row r="52" spans="2:7" ht="12.75" hidden="1" customHeight="1" x14ac:dyDescent="0.2">
      <c r="B52" s="41"/>
      <c r="C52" s="41"/>
      <c r="D52" s="41"/>
      <c r="E52" s="41"/>
      <c r="F52" s="31"/>
      <c r="G52" s="31"/>
    </row>
    <row r="53" spans="2:7" ht="12.75" hidden="1" customHeight="1" x14ac:dyDescent="0.2">
      <c r="B53" s="41"/>
      <c r="C53" s="41"/>
      <c r="D53" s="41"/>
      <c r="E53" s="41"/>
      <c r="F53" s="31"/>
      <c r="G53" s="31"/>
    </row>
    <row r="54" spans="2:7" ht="12.75" hidden="1" customHeight="1" x14ac:dyDescent="0.2">
      <c r="B54" s="41"/>
      <c r="C54" s="41"/>
      <c r="D54" s="41"/>
      <c r="E54" s="41"/>
      <c r="F54" s="31"/>
      <c r="G54" s="31"/>
    </row>
    <row r="55" spans="2:7" ht="12.75" hidden="1" customHeight="1" x14ac:dyDescent="0.2">
      <c r="B55" s="41"/>
      <c r="C55" s="41"/>
      <c r="D55" s="41"/>
      <c r="E55" s="41"/>
      <c r="F55" s="31"/>
      <c r="G55" s="31"/>
    </row>
    <row r="56" spans="2:7" ht="12.75" hidden="1" customHeight="1" x14ac:dyDescent="0.2">
      <c r="B56" s="41"/>
      <c r="C56" s="41"/>
      <c r="D56" s="41"/>
      <c r="E56" s="41"/>
      <c r="F56" s="31"/>
      <c r="G56" s="31"/>
    </row>
    <row r="57" spans="2:7" ht="12.75" hidden="1" customHeight="1" x14ac:dyDescent="0.2">
      <c r="B57" s="41"/>
      <c r="C57" s="41"/>
      <c r="D57" s="41"/>
      <c r="E57" s="41"/>
      <c r="F57" s="31"/>
      <c r="G57" s="31"/>
    </row>
    <row r="58" spans="2:7" ht="12.75" hidden="1" customHeight="1" x14ac:dyDescent="0.2">
      <c r="B58" s="41"/>
      <c r="C58" s="41"/>
      <c r="D58" s="41"/>
      <c r="E58" s="41"/>
      <c r="F58" s="31"/>
      <c r="G58" s="31"/>
    </row>
    <row r="59" spans="2:7" ht="12.75" hidden="1" customHeight="1" x14ac:dyDescent="0.2">
      <c r="B59" s="41"/>
      <c r="C59" s="41"/>
      <c r="D59" s="41"/>
      <c r="E59" s="41"/>
      <c r="F59" s="31"/>
      <c r="G59" s="31"/>
    </row>
    <row r="60" spans="2:7" ht="12.75" hidden="1" customHeight="1" x14ac:dyDescent="0.2">
      <c r="B60" s="41"/>
      <c r="C60" s="41"/>
      <c r="D60" s="41"/>
      <c r="E60" s="41"/>
      <c r="F60" s="31"/>
      <c r="G60" s="41"/>
    </row>
    <row r="61" spans="2:7" ht="12.75" hidden="1" customHeight="1" x14ac:dyDescent="0.2">
      <c r="B61" s="41"/>
      <c r="C61" s="41"/>
      <c r="D61" s="41"/>
      <c r="E61" s="41"/>
      <c r="F61" s="31"/>
      <c r="G61" s="31"/>
    </row>
    <row r="62" spans="2:7" ht="12.75" hidden="1" customHeight="1" x14ac:dyDescent="0.2">
      <c r="B62" s="41"/>
      <c r="C62" s="41"/>
      <c r="D62" s="41"/>
      <c r="E62" s="41"/>
      <c r="F62" s="41"/>
      <c r="G62" s="31"/>
    </row>
    <row r="63" spans="2:7" ht="12.75" hidden="1" customHeight="1" x14ac:dyDescent="0.2">
      <c r="B63" s="41"/>
      <c r="C63" s="41"/>
      <c r="D63" s="41"/>
      <c r="E63" s="41"/>
      <c r="F63" s="31"/>
      <c r="G63" s="31"/>
    </row>
    <row r="64" spans="2:7" ht="12.75" hidden="1" customHeight="1" x14ac:dyDescent="0.2">
      <c r="B64" s="41"/>
      <c r="C64" s="41"/>
      <c r="D64" s="41"/>
      <c r="E64" s="41"/>
      <c r="F64" s="31"/>
      <c r="G64" s="31"/>
    </row>
    <row r="65" spans="2:7" ht="12.75" hidden="1" customHeight="1" x14ac:dyDescent="0.2">
      <c r="B65" s="41"/>
      <c r="C65" s="41"/>
      <c r="D65" s="41"/>
      <c r="E65" s="41"/>
      <c r="F65" s="31"/>
      <c r="G65" s="31"/>
    </row>
    <row r="66" spans="2:7" ht="12.75" hidden="1" customHeight="1" x14ac:dyDescent="0.2">
      <c r="B66" s="41"/>
      <c r="C66" s="41"/>
      <c r="D66" s="41"/>
      <c r="E66" s="41"/>
      <c r="F66" s="31"/>
      <c r="G66" s="31"/>
    </row>
    <row r="67" spans="2:7" ht="12.75" hidden="1" customHeight="1" x14ac:dyDescent="0.2">
      <c r="B67" s="41"/>
      <c r="C67" s="41"/>
      <c r="D67" s="41"/>
      <c r="E67" s="41"/>
      <c r="F67" s="31"/>
      <c r="G67" s="31"/>
    </row>
    <row r="68" spans="2:7" ht="12.75" hidden="1" customHeight="1" x14ac:dyDescent="0.2">
      <c r="B68" s="41"/>
      <c r="C68" s="41"/>
      <c r="D68" s="41"/>
      <c r="E68" s="41"/>
      <c r="F68" s="31"/>
      <c r="G68" s="31"/>
    </row>
    <row r="69" spans="2:7" ht="12.75" hidden="1" customHeight="1" x14ac:dyDescent="0.2">
      <c r="B69" s="41"/>
      <c r="C69" s="41"/>
      <c r="D69" s="41"/>
      <c r="F69" s="31"/>
    </row>
    <row r="70" spans="2:7" ht="12.75" hidden="1" customHeight="1" x14ac:dyDescent="0.2">
      <c r="F70" s="31"/>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row r="80"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M82"/>
  <sheetViews>
    <sheetView topLeftCell="A7" zoomScale="90" zoomScaleNormal="90" workbookViewId="0">
      <selection activeCell="H12" sqref="H12"/>
    </sheetView>
  </sheetViews>
  <sheetFormatPr baseColWidth="10" defaultColWidth="0" defaultRowHeight="12.75" customHeight="1"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42" t="s">
        <v>57</v>
      </c>
      <c r="C2" s="142"/>
      <c r="D2" s="142"/>
      <c r="E2" s="142"/>
      <c r="F2" s="142"/>
      <c r="G2" s="142"/>
      <c r="H2" s="142"/>
      <c r="I2" s="142"/>
      <c r="J2" s="142"/>
      <c r="K2" s="142"/>
      <c r="L2" s="142"/>
    </row>
    <row r="3" spans="2:12" ht="13.5" thickTop="1" x14ac:dyDescent="0.2">
      <c r="B3" s="118" t="str">
        <f>Tooltype</f>
        <v>Calculator tool for the German scenario for inland water marinas</v>
      </c>
    </row>
    <row r="4" spans="2:12" ht="12.75" customHeight="1" x14ac:dyDescent="0.2"/>
    <row r="5" spans="2:12" ht="21" thickBot="1" x14ac:dyDescent="0.35">
      <c r="B5" s="115" t="s">
        <v>10</v>
      </c>
      <c r="F5" s="47"/>
      <c r="G5" s="142" t="s">
        <v>64</v>
      </c>
      <c r="H5" s="142"/>
    </row>
    <row r="6" spans="2:12" ht="15" customHeight="1" thickTop="1" x14ac:dyDescent="0.2">
      <c r="B6" s="116" t="str">
        <f>D_Compound_Name</f>
        <v>DIDT</v>
      </c>
      <c r="F6" s="47"/>
    </row>
    <row r="7" spans="2:12" x14ac:dyDescent="0.2">
      <c r="F7" s="47"/>
      <c r="G7" s="110" t="s">
        <v>64</v>
      </c>
      <c r="H7" s="76">
        <f>Application_Factor</f>
        <v>0.9</v>
      </c>
      <c r="I7" s="109" t="s">
        <v>154</v>
      </c>
    </row>
    <row r="8" spans="2:12" ht="12.75" customHeight="1" x14ac:dyDescent="0.2">
      <c r="F8" s="47"/>
    </row>
    <row r="9" spans="2:12" ht="21" thickBot="1" x14ac:dyDescent="0.35">
      <c r="B9" s="142" t="s">
        <v>56</v>
      </c>
      <c r="C9" s="142"/>
      <c r="D9" s="142"/>
      <c r="E9" s="85"/>
      <c r="F9" s="47"/>
      <c r="G9" s="33" t="s">
        <v>49</v>
      </c>
    </row>
    <row r="10" spans="2:12" ht="12.75" customHeight="1" thickTop="1" thickBot="1" x14ac:dyDescent="0.25">
      <c r="B10" s="47"/>
      <c r="C10" s="47"/>
      <c r="D10" s="47"/>
      <c r="E10" s="47"/>
      <c r="F10" s="47"/>
    </row>
    <row r="11" spans="2:12" ht="26.25" customHeight="1" thickBot="1" x14ac:dyDescent="0.25">
      <c r="B11" s="47"/>
      <c r="C11" s="117" t="s">
        <v>68</v>
      </c>
      <c r="D11" s="117" t="s">
        <v>69</v>
      </c>
      <c r="E11" s="47"/>
      <c r="G11" s="108" t="s">
        <v>62</v>
      </c>
      <c r="H11" s="77">
        <v>2.5</v>
      </c>
      <c r="I11" s="34" t="s">
        <v>92</v>
      </c>
      <c r="J11" s="109" t="s">
        <v>63</v>
      </c>
    </row>
    <row r="12" spans="2:12" x14ac:dyDescent="0.2">
      <c r="B12" s="110" t="s">
        <v>3</v>
      </c>
      <c r="C12" s="76">
        <v>0.18</v>
      </c>
      <c r="D12" s="76">
        <v>0.18</v>
      </c>
      <c r="E12" s="111" t="s">
        <v>95</v>
      </c>
    </row>
    <row r="13" spans="2:12" x14ac:dyDescent="0.2">
      <c r="B13" s="110" t="s">
        <v>4</v>
      </c>
      <c r="C13" s="76">
        <v>1.3699999999999999E-3</v>
      </c>
      <c r="D13" s="76">
        <v>1.3699999999999999E-3</v>
      </c>
      <c r="E13" s="111" t="s">
        <v>96</v>
      </c>
    </row>
    <row r="14" spans="2:12" ht="12.75" customHeight="1" x14ac:dyDescent="0.2"/>
    <row r="15" spans="2:12" ht="21" thickBot="1" x14ac:dyDescent="0.35">
      <c r="B15" s="142" t="s">
        <v>54</v>
      </c>
      <c r="C15" s="142"/>
      <c r="D15" s="142"/>
      <c r="E15" s="85"/>
      <c r="G15" s="85" t="s">
        <v>20</v>
      </c>
      <c r="H15" s="85"/>
      <c r="I15" s="85"/>
      <c r="J15" s="85"/>
      <c r="K15" s="85"/>
      <c r="L15" s="85"/>
    </row>
    <row r="16" spans="2:12" ht="14.25" thickTop="1" thickBot="1" x14ac:dyDescent="0.25">
      <c r="B16" s="41"/>
    </row>
    <row r="17" spans="2:12" ht="18" thickBot="1" x14ac:dyDescent="0.35">
      <c r="B17" s="146" t="s">
        <v>91</v>
      </c>
      <c r="C17" s="146"/>
      <c r="D17" s="146"/>
      <c r="E17" s="90"/>
      <c r="G17" s="37" t="s">
        <v>14</v>
      </c>
      <c r="H17" s="38"/>
      <c r="I17" s="38"/>
      <c r="J17" s="38"/>
      <c r="K17" s="38"/>
      <c r="L17" s="39"/>
    </row>
    <row r="18" spans="2:12" ht="13.5" thickTop="1" x14ac:dyDescent="0.2">
      <c r="B18" s="41"/>
      <c r="G18" s="16"/>
      <c r="H18" s="13"/>
      <c r="I18" s="13"/>
      <c r="J18" s="13"/>
      <c r="K18" s="13"/>
      <c r="L18" s="17"/>
    </row>
    <row r="19" spans="2:12" ht="25.5" x14ac:dyDescent="0.2">
      <c r="B19" s="110" t="s">
        <v>55</v>
      </c>
      <c r="C19" s="76">
        <v>0</v>
      </c>
      <c r="D19" s="89" t="s">
        <v>95</v>
      </c>
      <c r="E19" s="45"/>
      <c r="G19" s="112" t="s">
        <v>15</v>
      </c>
      <c r="H19" s="8" t="s">
        <v>16</v>
      </c>
      <c r="I19" s="8" t="s">
        <v>17</v>
      </c>
      <c r="J19" s="8" t="s">
        <v>18</v>
      </c>
      <c r="K19" s="8" t="s">
        <v>21</v>
      </c>
      <c r="L19" s="9" t="s">
        <v>19</v>
      </c>
    </row>
    <row r="20" spans="2:12" x14ac:dyDescent="0.2">
      <c r="B20" s="110" t="s">
        <v>4</v>
      </c>
      <c r="C20" s="76">
        <v>0</v>
      </c>
      <c r="D20" s="89" t="s">
        <v>96</v>
      </c>
      <c r="E20" s="45"/>
      <c r="G20" s="16"/>
      <c r="H20" s="13"/>
      <c r="I20" s="13"/>
      <c r="J20" s="13"/>
      <c r="K20" s="13"/>
      <c r="L20" s="17"/>
    </row>
    <row r="21" spans="2:12" ht="25.5" x14ac:dyDescent="0.2">
      <c r="B21" s="41"/>
      <c r="G21" s="27" t="s">
        <v>22</v>
      </c>
      <c r="H21" s="21" t="s">
        <v>23</v>
      </c>
      <c r="I21" s="36"/>
      <c r="J21" s="23" t="s">
        <v>43</v>
      </c>
      <c r="K21" s="18" t="s">
        <v>45</v>
      </c>
      <c r="L21" s="11"/>
    </row>
    <row r="22" spans="2:12" x14ac:dyDescent="0.2">
      <c r="B22" s="74"/>
      <c r="C22" s="74"/>
      <c r="D22" s="74"/>
      <c r="E22" s="74"/>
      <c r="G22" s="27" t="s">
        <v>26</v>
      </c>
      <c r="H22" s="21" t="s">
        <v>24</v>
      </c>
      <c r="I22" s="36"/>
      <c r="J22" s="23" t="s">
        <v>2</v>
      </c>
      <c r="K22" s="18" t="s">
        <v>46</v>
      </c>
      <c r="L22" s="11"/>
    </row>
    <row r="23" spans="2:12" ht="29.25" customHeight="1" x14ac:dyDescent="0.2">
      <c r="B23" s="74"/>
      <c r="C23" s="74"/>
      <c r="D23" s="74"/>
      <c r="E23" s="74"/>
      <c r="G23" s="27" t="s">
        <v>27</v>
      </c>
      <c r="H23" s="21" t="s">
        <v>25</v>
      </c>
      <c r="I23" s="36"/>
      <c r="J23" s="23" t="s">
        <v>28</v>
      </c>
      <c r="K23" s="18" t="s">
        <v>46</v>
      </c>
      <c r="L23" s="11"/>
    </row>
    <row r="24" spans="2:12" ht="15" x14ac:dyDescent="0.2">
      <c r="B24" s="74"/>
      <c r="C24" s="74"/>
      <c r="D24" s="74"/>
      <c r="E24" s="74"/>
      <c r="G24" s="27" t="s">
        <v>29</v>
      </c>
      <c r="H24" s="22" t="s">
        <v>30</v>
      </c>
      <c r="I24" s="36"/>
      <c r="J24" s="23" t="s">
        <v>94</v>
      </c>
      <c r="K24" s="18" t="s">
        <v>46</v>
      </c>
      <c r="L24" s="11"/>
    </row>
    <row r="25" spans="2:12" x14ac:dyDescent="0.2">
      <c r="B25" s="74"/>
      <c r="C25" s="74"/>
      <c r="D25" s="74"/>
      <c r="E25" s="74"/>
      <c r="G25" s="27" t="s">
        <v>37</v>
      </c>
      <c r="H25" s="21" t="s">
        <v>31</v>
      </c>
      <c r="I25" s="36"/>
      <c r="J25" s="23" t="s">
        <v>93</v>
      </c>
      <c r="K25" s="18" t="s">
        <v>46</v>
      </c>
      <c r="L25" s="11"/>
    </row>
    <row r="26" spans="2:12" ht="29.25" customHeight="1" x14ac:dyDescent="0.2">
      <c r="B26" s="74"/>
      <c r="C26" s="74"/>
      <c r="D26" s="74"/>
      <c r="E26" s="74"/>
      <c r="G26" s="27" t="s">
        <v>107</v>
      </c>
      <c r="H26" s="21" t="s">
        <v>32</v>
      </c>
      <c r="I26" s="36"/>
      <c r="J26" s="23" t="s">
        <v>40</v>
      </c>
      <c r="K26" s="18" t="s">
        <v>46</v>
      </c>
      <c r="L26" s="11"/>
    </row>
    <row r="27" spans="2:12" x14ac:dyDescent="0.2">
      <c r="B27" s="74"/>
      <c r="C27" s="74"/>
      <c r="D27" s="74"/>
      <c r="E27" s="74"/>
      <c r="G27" s="27" t="s">
        <v>38</v>
      </c>
      <c r="H27" s="21" t="s">
        <v>33</v>
      </c>
      <c r="I27" s="36"/>
      <c r="J27" s="23" t="s">
        <v>39</v>
      </c>
      <c r="K27" s="18" t="s">
        <v>46</v>
      </c>
      <c r="L27" s="11"/>
    </row>
    <row r="28" spans="2:12" ht="15.75" thickBot="1" x14ac:dyDescent="0.25">
      <c r="B28" s="74"/>
      <c r="C28" s="74"/>
      <c r="D28" s="74"/>
      <c r="E28" s="74"/>
      <c r="G28" s="143" t="s">
        <v>34</v>
      </c>
      <c r="H28" s="144"/>
      <c r="I28" s="144"/>
      <c r="J28" s="144"/>
      <c r="K28" s="144"/>
      <c r="L28" s="145"/>
    </row>
    <row r="29" spans="2:12" ht="54" customHeight="1" thickTop="1" thickBot="1" x14ac:dyDescent="0.3">
      <c r="B29" s="74"/>
      <c r="C29" s="74"/>
      <c r="D29" s="74"/>
      <c r="E29" s="74"/>
      <c r="G29" s="27" t="s">
        <v>41</v>
      </c>
      <c r="H29" s="20" t="s">
        <v>35</v>
      </c>
      <c r="I29" s="29" t="e">
        <f>(D_La*D_a*D_Wa*D_ƿ*D_DFT)/D_VS</f>
        <v>#DIV/0!</v>
      </c>
      <c r="J29" s="23" t="s">
        <v>97</v>
      </c>
      <c r="K29" s="18" t="s">
        <v>44</v>
      </c>
      <c r="L29" s="11"/>
    </row>
    <row r="30" spans="2:12" ht="57.75" customHeight="1" thickTop="1" thickBot="1" x14ac:dyDescent="0.25">
      <c r="B30" s="74"/>
      <c r="C30" s="74"/>
      <c r="D30" s="74"/>
      <c r="E30" s="74"/>
      <c r="G30" s="26" t="s">
        <v>42</v>
      </c>
      <c r="H30" s="25" t="s">
        <v>36</v>
      </c>
      <c r="I30" s="30" t="e">
        <f>0.0329*(D_Mrel/D_t)</f>
        <v>#DIV/0!</v>
      </c>
      <c r="J30" s="24" t="s">
        <v>92</v>
      </c>
      <c r="K30" s="28" t="s">
        <v>44</v>
      </c>
      <c r="L30" s="19"/>
    </row>
    <row r="31" spans="2:12" x14ac:dyDescent="0.2">
      <c r="G31" s="14"/>
      <c r="H31" s="15"/>
    </row>
    <row r="32" spans="2:12" x14ac:dyDescent="0.2">
      <c r="G32" s="14"/>
      <c r="H32" s="15"/>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4"/>
      <c r="C40" s="15"/>
    </row>
    <row r="41" spans="2:7" ht="12.75" hidden="1" customHeight="1" x14ac:dyDescent="0.2">
      <c r="B41" s="14"/>
      <c r="C41" s="15"/>
      <c r="E41" s="41"/>
      <c r="G41" s="41"/>
    </row>
    <row r="42" spans="2:7" ht="12.75" hidden="1" customHeight="1" x14ac:dyDescent="0.2">
      <c r="B42" s="41"/>
      <c r="C42" s="41"/>
      <c r="D42" s="41"/>
      <c r="E42" s="41"/>
      <c r="G42" s="41"/>
    </row>
    <row r="43" spans="2:7" ht="41.25" hidden="1" customHeight="1" x14ac:dyDescent="0.2">
      <c r="B43" s="41"/>
      <c r="C43" s="41"/>
      <c r="D43" s="41"/>
      <c r="F43" s="41"/>
      <c r="G43" s="41"/>
    </row>
    <row r="44" spans="2:7" ht="12.75" hidden="1" customHeight="1" x14ac:dyDescent="0.2">
      <c r="F44" s="41"/>
      <c r="G44" s="41"/>
    </row>
    <row r="45" spans="2:7" ht="12.75" hidden="1" customHeight="1" x14ac:dyDescent="0.2">
      <c r="F45" s="41"/>
      <c r="G45" s="41"/>
    </row>
    <row r="46" spans="2:7" ht="12.75" hidden="1" customHeight="1" x14ac:dyDescent="0.2">
      <c r="E46" s="41"/>
      <c r="F46" s="41"/>
      <c r="G46" s="41"/>
    </row>
    <row r="47" spans="2:7" ht="12.75" hidden="1" customHeight="1" x14ac:dyDescent="0.2">
      <c r="B47" s="41"/>
      <c r="C47" s="41"/>
      <c r="D47" s="41"/>
      <c r="E47" s="41"/>
      <c r="F47" s="41"/>
      <c r="G47" s="41"/>
    </row>
    <row r="48" spans="2:7" ht="12.75" hidden="1" customHeight="1" x14ac:dyDescent="0.2">
      <c r="B48" s="41"/>
      <c r="C48" s="41"/>
      <c r="D48" s="41"/>
      <c r="E48" s="41"/>
      <c r="F48" s="41"/>
      <c r="G48" s="41"/>
    </row>
    <row r="49" spans="2:7" ht="12.75" hidden="1" customHeight="1" x14ac:dyDescent="0.2">
      <c r="B49" s="41"/>
      <c r="C49" s="41"/>
      <c r="D49" s="41"/>
      <c r="E49" s="41"/>
      <c r="F49" s="41"/>
      <c r="G49" s="41"/>
    </row>
    <row r="50" spans="2:7" ht="12.75" hidden="1" customHeight="1" x14ac:dyDescent="0.2">
      <c r="B50" s="41"/>
      <c r="C50" s="41"/>
      <c r="D50" s="41"/>
      <c r="E50" s="41"/>
      <c r="F50" s="41"/>
      <c r="G50" s="41"/>
    </row>
    <row r="51" spans="2:7" ht="12.75" hidden="1" customHeight="1" x14ac:dyDescent="0.2">
      <c r="B51" s="41"/>
      <c r="C51" s="41"/>
      <c r="D51" s="41"/>
      <c r="E51" s="41"/>
      <c r="F51" s="41"/>
      <c r="G51" s="41"/>
    </row>
    <row r="52" spans="2:7" ht="12.75" hidden="1" customHeight="1" x14ac:dyDescent="0.2">
      <c r="B52" s="41"/>
      <c r="C52" s="41"/>
      <c r="D52" s="41"/>
      <c r="E52" s="41"/>
      <c r="F52" s="41"/>
      <c r="G52" s="41"/>
    </row>
    <row r="53" spans="2:7" ht="12.75" hidden="1" customHeight="1" x14ac:dyDescent="0.2">
      <c r="B53" s="41"/>
      <c r="C53" s="41"/>
      <c r="D53" s="41"/>
      <c r="E53" s="41"/>
      <c r="F53" s="41"/>
      <c r="G53" s="41"/>
    </row>
    <row r="54" spans="2:7" ht="12.75" hidden="1" customHeight="1" x14ac:dyDescent="0.2">
      <c r="B54" s="41"/>
      <c r="C54" s="41"/>
      <c r="D54" s="41"/>
      <c r="E54" s="41"/>
      <c r="F54" s="41"/>
      <c r="G54" s="41"/>
    </row>
    <row r="55" spans="2:7" ht="12.75" hidden="1" customHeight="1" x14ac:dyDescent="0.2">
      <c r="B55" s="41"/>
      <c r="C55" s="41"/>
      <c r="D55" s="41"/>
      <c r="E55" s="41"/>
      <c r="F55" s="41"/>
      <c r="G55" s="41"/>
    </row>
    <row r="56" spans="2:7" ht="12.75" hidden="1" customHeight="1" x14ac:dyDescent="0.2">
      <c r="B56" s="41"/>
      <c r="C56" s="41"/>
      <c r="D56" s="41"/>
      <c r="E56" s="41"/>
      <c r="F56" s="41"/>
      <c r="G56" s="41"/>
    </row>
    <row r="57" spans="2:7" ht="12.75" hidden="1" customHeight="1" x14ac:dyDescent="0.2">
      <c r="B57" s="41"/>
      <c r="C57" s="41"/>
      <c r="D57" s="41"/>
      <c r="E57" s="41"/>
      <c r="F57" s="41"/>
      <c r="G57" s="41"/>
    </row>
    <row r="58" spans="2:7" ht="12.75" hidden="1" customHeight="1" x14ac:dyDescent="0.2">
      <c r="B58" s="41"/>
      <c r="C58" s="41"/>
      <c r="D58" s="41"/>
      <c r="E58" s="41"/>
      <c r="F58" s="41"/>
      <c r="G58" s="41"/>
    </row>
    <row r="59" spans="2:7" ht="12.75" hidden="1" customHeight="1" x14ac:dyDescent="0.2">
      <c r="B59" s="41"/>
      <c r="C59" s="41"/>
      <c r="D59" s="41"/>
      <c r="E59" s="41"/>
      <c r="F59" s="41"/>
      <c r="G59" s="41"/>
    </row>
    <row r="60" spans="2:7" ht="12.75" hidden="1" customHeight="1" x14ac:dyDescent="0.2">
      <c r="B60" s="41"/>
      <c r="C60" s="41"/>
      <c r="D60" s="41"/>
      <c r="E60" s="41"/>
      <c r="F60" s="41"/>
      <c r="G60" s="41"/>
    </row>
    <row r="61" spans="2:7" ht="12.75" hidden="1" customHeight="1" x14ac:dyDescent="0.2">
      <c r="B61" s="41"/>
      <c r="C61" s="41"/>
      <c r="D61" s="41"/>
      <c r="E61" s="41"/>
      <c r="F61" s="41"/>
      <c r="G61" s="41"/>
    </row>
    <row r="62" spans="2:7" ht="12.75" hidden="1" customHeight="1" x14ac:dyDescent="0.2">
      <c r="B62" s="41"/>
      <c r="C62" s="41"/>
      <c r="D62" s="41"/>
      <c r="E62" s="41"/>
      <c r="F62" s="41"/>
      <c r="G62" s="41"/>
    </row>
    <row r="63" spans="2:7" ht="12.75" hidden="1" customHeight="1" x14ac:dyDescent="0.2">
      <c r="B63" s="41"/>
      <c r="C63" s="41"/>
      <c r="D63" s="41"/>
      <c r="E63" s="41"/>
      <c r="F63" s="41"/>
      <c r="G63" s="41"/>
    </row>
    <row r="64" spans="2:7" ht="12.75" hidden="1" customHeight="1" x14ac:dyDescent="0.2">
      <c r="B64" s="41"/>
      <c r="C64" s="41"/>
      <c r="D64" s="41"/>
      <c r="E64" s="41"/>
      <c r="F64" s="41"/>
      <c r="G64" s="41"/>
    </row>
    <row r="65" spans="2:7" ht="12.75" hidden="1" customHeight="1" x14ac:dyDescent="0.2">
      <c r="B65" s="41"/>
      <c r="C65" s="41"/>
      <c r="D65" s="41"/>
      <c r="E65" s="41"/>
      <c r="F65" s="41"/>
      <c r="G65" s="41"/>
    </row>
    <row r="66" spans="2:7" ht="12.75" hidden="1" customHeight="1" x14ac:dyDescent="0.2">
      <c r="B66" s="41"/>
      <c r="C66" s="41"/>
      <c r="D66" s="41"/>
      <c r="E66" s="41"/>
      <c r="F66" s="41"/>
      <c r="G66" s="41"/>
    </row>
    <row r="67" spans="2:7" ht="12.75" hidden="1" customHeight="1" x14ac:dyDescent="0.2">
      <c r="B67" s="41"/>
      <c r="C67" s="41"/>
      <c r="D67" s="41"/>
      <c r="E67" s="41"/>
      <c r="F67" s="41"/>
      <c r="G67" s="41"/>
    </row>
    <row r="68" spans="2:7" ht="12.75" hidden="1" customHeight="1" x14ac:dyDescent="0.2">
      <c r="B68" s="41"/>
      <c r="C68" s="41"/>
      <c r="D68" s="41"/>
      <c r="E68" s="41"/>
      <c r="F68" s="41"/>
      <c r="G68" s="41"/>
    </row>
    <row r="69" spans="2:7" ht="12.75" hidden="1" customHeight="1" x14ac:dyDescent="0.2">
      <c r="B69" s="41"/>
      <c r="C69" s="41"/>
      <c r="D69" s="41"/>
      <c r="F69" s="41"/>
    </row>
    <row r="70" spans="2:7" ht="12.75" hidden="1" customHeight="1" x14ac:dyDescent="0.2">
      <c r="F70" s="41"/>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ht="12.75" customHeight="1" x14ac:dyDescent="0.2"/>
    <row r="80" spans="2:7" ht="12.75" customHeight="1" x14ac:dyDescent="0.2"/>
    <row r="81" ht="12.75" customHeight="1" x14ac:dyDescent="0.2"/>
    <row r="82" ht="12.75" customHeight="1" x14ac:dyDescent="0.2"/>
  </sheetData>
  <mergeCells count="6">
    <mergeCell ref="G28:L28"/>
    <mergeCell ref="B2:L2"/>
    <mergeCell ref="B9:D9"/>
    <mergeCell ref="G5:H5"/>
    <mergeCell ref="B15:D15"/>
    <mergeCell ref="B17:D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4.9989318521683403E-2"/>
  </sheetPr>
  <dimension ref="A1:Z404"/>
  <sheetViews>
    <sheetView topLeftCell="A31" zoomScale="85" zoomScaleNormal="85" workbookViewId="0">
      <selection activeCell="I35" sqref="I35"/>
    </sheetView>
  </sheetViews>
  <sheetFormatPr baseColWidth="10" defaultColWidth="0" defaultRowHeight="12.75" zeroHeight="1" x14ac:dyDescent="0.2"/>
  <cols>
    <col min="1" max="2" width="3.125" style="1" customWidth="1"/>
    <col min="3" max="3" width="47.375" bestFit="1"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57"/>
      <c r="B1" s="57"/>
      <c r="C1" s="57"/>
      <c r="D1" s="57"/>
      <c r="E1" s="57"/>
      <c r="F1" s="57"/>
      <c r="G1" s="57"/>
      <c r="H1" s="57"/>
      <c r="I1" s="57"/>
      <c r="J1" s="57"/>
      <c r="K1" s="57"/>
      <c r="L1" s="57"/>
      <c r="M1" s="57"/>
      <c r="N1" s="57"/>
    </row>
    <row r="2" spans="1:14" x14ac:dyDescent="0.2">
      <c r="A2" s="57"/>
      <c r="K2" s="1"/>
      <c r="N2" s="57"/>
    </row>
    <row r="3" spans="1:14" x14ac:dyDescent="0.2">
      <c r="A3" s="57"/>
      <c r="C3" s="51" t="s">
        <v>73</v>
      </c>
      <c r="D3" s="51"/>
      <c r="E3" s="51"/>
      <c r="F3" s="51"/>
      <c r="G3" s="51"/>
      <c r="H3" s="51"/>
      <c r="I3" s="51"/>
      <c r="J3" s="59"/>
      <c r="K3" s="59"/>
      <c r="L3" s="73">
        <f ca="1">TODAY()</f>
        <v>44001</v>
      </c>
      <c r="N3" s="57"/>
    </row>
    <row r="4" spans="1:14" x14ac:dyDescent="0.2">
      <c r="A4" s="57"/>
      <c r="C4" s="113" t="str">
        <f>Tooltype</f>
        <v>Calculator tool for the German scenario for inland water marinas</v>
      </c>
      <c r="D4" s="113"/>
      <c r="E4" s="113"/>
      <c r="K4" s="1"/>
      <c r="N4" s="57"/>
    </row>
    <row r="5" spans="1:14" x14ac:dyDescent="0.2">
      <c r="A5" s="57"/>
      <c r="K5" s="1"/>
      <c r="N5" s="57"/>
    </row>
    <row r="6" spans="1:14" x14ac:dyDescent="0.2">
      <c r="A6" s="57"/>
      <c r="C6" s="52" t="s">
        <v>74</v>
      </c>
      <c r="D6" t="str">
        <f>Substance</f>
        <v>Zineb and DIDT</v>
      </c>
      <c r="K6" s="1"/>
      <c r="N6" s="57"/>
    </row>
    <row r="7" spans="1:14" x14ac:dyDescent="0.2">
      <c r="A7" s="57"/>
      <c r="C7" s="52" t="s">
        <v>75</v>
      </c>
      <c r="D7" t="str">
        <f>Version</f>
        <v>Version Final 1.0</v>
      </c>
      <c r="K7" s="1"/>
      <c r="N7" s="57"/>
    </row>
    <row r="8" spans="1:14" x14ac:dyDescent="0.2">
      <c r="A8" s="57"/>
      <c r="K8" s="1"/>
      <c r="N8" s="57"/>
    </row>
    <row r="9" spans="1:14" x14ac:dyDescent="0.2">
      <c r="A9" s="57"/>
      <c r="C9" s="147" t="s">
        <v>14</v>
      </c>
      <c r="D9" s="147"/>
      <c r="E9" s="147"/>
      <c r="F9" s="147"/>
      <c r="K9" s="1"/>
      <c r="N9" s="57"/>
    </row>
    <row r="10" spans="1:14" s="56" customFormat="1" x14ac:dyDescent="0.2">
      <c r="A10" s="57"/>
      <c r="B10" s="1"/>
      <c r="C10" s="53"/>
      <c r="J10" s="1"/>
      <c r="K10" s="1"/>
      <c r="N10" s="57"/>
    </row>
    <row r="11" spans="1:14" x14ac:dyDescent="0.2">
      <c r="A11" s="57"/>
      <c r="C11" s="148" t="s">
        <v>82</v>
      </c>
      <c r="D11" s="148"/>
      <c r="E11" s="148"/>
      <c r="F11" s="148"/>
      <c r="K11" s="1"/>
      <c r="N11" s="57"/>
    </row>
    <row r="12" spans="1:14" s="74" customFormat="1" x14ac:dyDescent="0.2">
      <c r="A12" s="57"/>
      <c r="B12" s="1"/>
      <c r="C12" s="86"/>
      <c r="D12" s="86"/>
      <c r="F12" s="106" t="str">
        <f>Z_Compound_Name</f>
        <v>Zineb</v>
      </c>
      <c r="G12" s="106" t="str">
        <f>D_Compound_Name</f>
        <v>DIDT</v>
      </c>
      <c r="J12" s="1"/>
      <c r="K12" s="1"/>
      <c r="N12" s="57"/>
    </row>
    <row r="13" spans="1:14" s="56" customFormat="1" x14ac:dyDescent="0.2">
      <c r="A13" s="57"/>
      <c r="B13" s="1"/>
      <c r="C13" s="56" t="s">
        <v>64</v>
      </c>
      <c r="F13" s="56">
        <f>Application_Factor</f>
        <v>0.9</v>
      </c>
      <c r="G13" s="74">
        <f>Application_Factor</f>
        <v>0.9</v>
      </c>
      <c r="J13" s="1"/>
      <c r="K13" s="1"/>
      <c r="N13" s="57"/>
    </row>
    <row r="14" spans="1:14" s="56" customFormat="1" x14ac:dyDescent="0.2">
      <c r="A14" s="57"/>
      <c r="B14" s="1"/>
      <c r="C14" s="56" t="s">
        <v>81</v>
      </c>
      <c r="F14" s="119">
        <f>IF(ISBLANK(Z_Average_biocide_release_over_the_lifetime_of_the_paint_M),Z_User_Input!I30,Z_Average_biocide_release_over_the_lifetime_of_the_paint_M)</f>
        <v>2.5</v>
      </c>
      <c r="G14" s="119">
        <f>IF(ISBLANK(D_Average_biocide_release_over_the_lifetime_of_the_paint_M),D_User_Input!I30,D_Average_biocide_release_over_the_lifetime_of_the_paint_M)</f>
        <v>2.5</v>
      </c>
      <c r="J14" s="1"/>
      <c r="K14" s="1"/>
      <c r="N14" s="57"/>
    </row>
    <row r="15" spans="1:14" s="56" customFormat="1" x14ac:dyDescent="0.2">
      <c r="A15" s="57"/>
      <c r="B15" s="1"/>
      <c r="J15" s="1"/>
      <c r="K15" s="1"/>
      <c r="N15" s="57"/>
    </row>
    <row r="16" spans="1:14" s="56" customFormat="1" x14ac:dyDescent="0.2">
      <c r="A16" s="57"/>
      <c r="B16" s="1"/>
      <c r="C16" s="148" t="s">
        <v>56</v>
      </c>
      <c r="D16" s="148"/>
      <c r="E16" s="148"/>
      <c r="F16" s="148"/>
      <c r="J16" s="1"/>
      <c r="K16" s="1"/>
      <c r="N16" s="57"/>
    </row>
    <row r="17" spans="1:16" s="74" customFormat="1" x14ac:dyDescent="0.2">
      <c r="A17" s="57"/>
      <c r="B17" s="1"/>
      <c r="C17" s="86"/>
      <c r="D17" s="86"/>
      <c r="F17" s="106" t="str">
        <f>Z_Compound_Name</f>
        <v>Zineb</v>
      </c>
      <c r="G17" s="106" t="str">
        <f>D_Compound_Name</f>
        <v>DIDT</v>
      </c>
      <c r="J17" s="1"/>
      <c r="K17" s="1"/>
      <c r="N17" s="57"/>
    </row>
    <row r="18" spans="1:16" s="56" customFormat="1" x14ac:dyDescent="0.2">
      <c r="A18" s="57"/>
      <c r="B18" s="1"/>
      <c r="C18" s="149" t="s">
        <v>105</v>
      </c>
      <c r="D18" s="149"/>
      <c r="E18" s="149"/>
      <c r="F18" s="120">
        <f>Z_PNEC_Aquatic_Inside</f>
        <v>0.219</v>
      </c>
      <c r="G18" s="120">
        <f>D_PNEC_Aquatic_Inside</f>
        <v>0.18</v>
      </c>
      <c r="J18" s="1"/>
      <c r="K18" s="1"/>
      <c r="N18" s="57"/>
    </row>
    <row r="19" spans="1:16" s="56" customFormat="1" x14ac:dyDescent="0.2">
      <c r="A19" s="57"/>
      <c r="B19" s="1"/>
      <c r="C19" s="149" t="s">
        <v>104</v>
      </c>
      <c r="D19" s="149"/>
      <c r="E19" s="149"/>
      <c r="F19" s="120">
        <f>Z_PNEC_Sediment_Inside</f>
        <v>4.5499999999999999E-2</v>
      </c>
      <c r="G19" s="120">
        <f>D_PNEC_Sediment_Inside</f>
        <v>1.3699999999999999E-3</v>
      </c>
      <c r="J19" s="1"/>
      <c r="K19" s="1"/>
      <c r="N19" s="57"/>
    </row>
    <row r="20" spans="1:16" s="56" customFormat="1" x14ac:dyDescent="0.2">
      <c r="A20" s="57"/>
      <c r="B20" s="1"/>
      <c r="C20" s="149" t="s">
        <v>103</v>
      </c>
      <c r="D20" s="149"/>
      <c r="E20" s="149"/>
      <c r="F20" s="120">
        <f>Z_PNEC_Aquatic_Surrounding</f>
        <v>0.219</v>
      </c>
      <c r="G20" s="120">
        <f>D_PNEC_Aquatic_Surrounding</f>
        <v>0.18</v>
      </c>
      <c r="J20" s="1"/>
      <c r="K20" s="1"/>
      <c r="N20" s="57"/>
    </row>
    <row r="21" spans="1:16" x14ac:dyDescent="0.2">
      <c r="A21" s="57"/>
      <c r="C21" s="149" t="s">
        <v>102</v>
      </c>
      <c r="D21" s="149"/>
      <c r="E21" s="149"/>
      <c r="F21" s="120">
        <f>Z_PNEC_Sediment_Surrounding</f>
        <v>4.5499999999999999E-2</v>
      </c>
      <c r="G21" s="120">
        <f>D_PNEC_Sediment_Surrounding</f>
        <v>1.3699999999999999E-3</v>
      </c>
      <c r="K21" s="1"/>
      <c r="N21" s="57"/>
    </row>
    <row r="22" spans="1:16" x14ac:dyDescent="0.2">
      <c r="A22" s="57"/>
      <c r="K22" s="1"/>
      <c r="N22" s="57"/>
    </row>
    <row r="23" spans="1:16" x14ac:dyDescent="0.2">
      <c r="A23" s="57"/>
      <c r="C23" s="148" t="s">
        <v>54</v>
      </c>
      <c r="D23" s="148"/>
      <c r="E23" s="148"/>
      <c r="F23" s="148"/>
      <c r="K23" s="1"/>
      <c r="N23" s="57"/>
    </row>
    <row r="24" spans="1:16" s="74" customFormat="1" x14ac:dyDescent="0.2">
      <c r="A24" s="57"/>
      <c r="B24" s="1"/>
      <c r="C24" s="86" t="str">
        <f>Z_Compound_Name</f>
        <v>Zineb</v>
      </c>
      <c r="D24" s="86"/>
      <c r="E24" s="86"/>
      <c r="F24" s="86"/>
      <c r="J24" s="1"/>
      <c r="K24" s="1"/>
      <c r="N24" s="57"/>
    </row>
    <row r="25" spans="1:16" ht="25.5" x14ac:dyDescent="0.2">
      <c r="A25" s="57"/>
      <c r="E25" s="102" t="s">
        <v>98</v>
      </c>
      <c r="F25" s="102" t="s">
        <v>99</v>
      </c>
      <c r="K25" s="1"/>
      <c r="N25" s="57"/>
    </row>
    <row r="26" spans="1:16" x14ac:dyDescent="0.2">
      <c r="A26" s="57"/>
      <c r="C26" t="s">
        <v>193</v>
      </c>
      <c r="E26" s="103">
        <f>Z_Background_SW_Freshwater</f>
        <v>0</v>
      </c>
      <c r="F26" s="103">
        <f>Z_Background_Sed_Freshwater</f>
        <v>0</v>
      </c>
      <c r="K26" s="1"/>
      <c r="N26" s="57"/>
    </row>
    <row r="27" spans="1:16" s="74" customFormat="1" x14ac:dyDescent="0.2">
      <c r="A27" s="57"/>
      <c r="B27" s="1"/>
      <c r="J27" s="1"/>
      <c r="K27" s="1"/>
      <c r="N27" s="70"/>
      <c r="O27" s="63"/>
      <c r="P27" s="63"/>
    </row>
    <row r="28" spans="1:16" s="74" customFormat="1" x14ac:dyDescent="0.2">
      <c r="A28" s="57"/>
      <c r="B28" s="1"/>
      <c r="C28" s="148" t="s">
        <v>54</v>
      </c>
      <c r="D28" s="148"/>
      <c r="E28" s="148"/>
      <c r="F28" s="148"/>
      <c r="J28" s="1"/>
      <c r="K28" s="1"/>
      <c r="N28" s="70"/>
      <c r="O28" s="63"/>
      <c r="P28" s="63"/>
    </row>
    <row r="29" spans="1:16" s="74" customFormat="1" x14ac:dyDescent="0.2">
      <c r="A29" s="57"/>
      <c r="B29" s="1"/>
      <c r="C29" s="86" t="str">
        <f>D_Compound_Name</f>
        <v>DIDT</v>
      </c>
      <c r="D29" s="86"/>
      <c r="E29" s="86"/>
      <c r="F29" s="86"/>
      <c r="J29" s="1"/>
      <c r="K29" s="1"/>
      <c r="N29" s="70"/>
      <c r="O29" s="63"/>
      <c r="P29" s="63"/>
    </row>
    <row r="30" spans="1:16" s="74" customFormat="1" ht="25.5" x14ac:dyDescent="0.2">
      <c r="A30" s="57"/>
      <c r="B30" s="1"/>
      <c r="E30" s="102" t="s">
        <v>98</v>
      </c>
      <c r="F30" s="102" t="s">
        <v>99</v>
      </c>
      <c r="J30" s="1"/>
      <c r="K30" s="1"/>
      <c r="N30" s="70"/>
      <c r="O30" s="63"/>
      <c r="P30" s="63"/>
    </row>
    <row r="31" spans="1:16" s="74" customFormat="1" x14ac:dyDescent="0.2">
      <c r="A31" s="57"/>
      <c r="B31" s="1"/>
      <c r="C31" s="74" t="s">
        <v>193</v>
      </c>
      <c r="E31" s="103">
        <f>D_Background_SW_Freshwater</f>
        <v>0</v>
      </c>
      <c r="F31" s="103">
        <f>D_Background_Sed_Freshwater</f>
        <v>0</v>
      </c>
      <c r="J31" s="1"/>
      <c r="K31" s="1"/>
      <c r="N31" s="70"/>
      <c r="O31" s="63"/>
      <c r="P31" s="63"/>
    </row>
    <row r="32" spans="1:16" x14ac:dyDescent="0.2">
      <c r="A32" s="57"/>
      <c r="K32" s="1"/>
      <c r="N32" s="70"/>
      <c r="O32" s="63"/>
      <c r="P32" s="63"/>
    </row>
    <row r="33" spans="1:25" x14ac:dyDescent="0.2">
      <c r="A33" s="57"/>
      <c r="C33" s="53" t="s">
        <v>78</v>
      </c>
      <c r="K33" s="1"/>
      <c r="N33" s="70"/>
      <c r="O33" s="63"/>
      <c r="P33" s="63"/>
    </row>
    <row r="34" spans="1:25" x14ac:dyDescent="0.2">
      <c r="A34" s="57"/>
      <c r="N34" s="70"/>
      <c r="O34" s="63"/>
      <c r="P34" s="63"/>
    </row>
    <row r="35" spans="1:25" ht="80.099999999999994" customHeight="1" x14ac:dyDescent="0.2">
      <c r="A35" s="57"/>
      <c r="C35" s="150" t="s">
        <v>193</v>
      </c>
      <c r="D35" s="151"/>
      <c r="E35" s="104" t="s">
        <v>111</v>
      </c>
      <c r="F35" s="104" t="s">
        <v>129</v>
      </c>
      <c r="G35" s="104" t="s">
        <v>135</v>
      </c>
      <c r="H35" s="104" t="s">
        <v>130</v>
      </c>
      <c r="J35"/>
      <c r="M35" s="65"/>
      <c r="N35" s="71"/>
      <c r="O35" s="65"/>
      <c r="P35" s="63"/>
      <c r="R35" s="63"/>
      <c r="S35" s="55"/>
      <c r="T35" s="55"/>
      <c r="U35" s="55"/>
      <c r="V35" s="55"/>
    </row>
    <row r="36" spans="1:25" s="74" customFormat="1" x14ac:dyDescent="0.2">
      <c r="A36" s="57"/>
      <c r="B36" s="1"/>
      <c r="C36" s="150" t="s">
        <v>194</v>
      </c>
      <c r="D36" s="151"/>
      <c r="E36" s="105">
        <f>'Z+D_DE Marinas_Scenario_Cal'!E24</f>
        <v>14.224497178964683</v>
      </c>
      <c r="F36" s="105">
        <f>'Z+D_DE Marinas_Scenario_Cal'!F24</f>
        <v>12.556818469726906</v>
      </c>
      <c r="G36" s="105">
        <f>'Z+D_DE Marinas_Scenario_Cal'!G24</f>
        <v>6.4204119871689161E-3</v>
      </c>
      <c r="H36" s="105">
        <f>'Z+D_DE Marinas_Scenario_Cal'!H24</f>
        <v>5.9417994396120666E-3</v>
      </c>
      <c r="M36" s="63"/>
      <c r="N36" s="70"/>
      <c r="O36" s="63"/>
      <c r="P36" s="63"/>
      <c r="Q36" s="63"/>
      <c r="R36" s="63"/>
    </row>
    <row r="37" spans="1:25" x14ac:dyDescent="0.2">
      <c r="A37" s="57"/>
      <c r="C37" s="150" t="s">
        <v>159</v>
      </c>
      <c r="D37" s="151"/>
      <c r="E37" s="105">
        <f>'Z+D_DE Marinas_Scenario_Cal'!E25</f>
        <v>22.381888431841382</v>
      </c>
      <c r="F37" s="105">
        <f>'Z+D_DE Marinas_Scenario_Cal'!F25</f>
        <v>145.08623227995318</v>
      </c>
      <c r="G37" s="105">
        <f>'Z+D_DE Marinas_Scenario_Cal'!G25</f>
        <v>9.1435383833206717E-3</v>
      </c>
      <c r="H37" s="105">
        <f>'Z+D_DE Marinas_Scenario_Cal'!H25</f>
        <v>6.1959781559173005E-2</v>
      </c>
      <c r="J37"/>
      <c r="M37" s="63"/>
      <c r="N37" s="70"/>
      <c r="O37" s="63"/>
      <c r="P37" s="63"/>
      <c r="Q37" s="63"/>
      <c r="R37" s="63"/>
    </row>
    <row r="38" spans="1:25" ht="12.75" customHeight="1" x14ac:dyDescent="0.2">
      <c r="A38" s="57"/>
      <c r="C38" s="150" t="s">
        <v>12</v>
      </c>
      <c r="D38" s="151"/>
      <c r="E38" s="105">
        <f>'Z+D_DE Marinas_Scenario_Cal'!E26</f>
        <v>61.006027265098801</v>
      </c>
      <c r="F38" s="105">
        <f>'Z+D_DE Marinas_Scenario_Cal'!F26</f>
        <v>2168.3323279492429</v>
      </c>
      <c r="G38" s="105">
        <f>'Z+D_DE Marinas_Scenario_Cal'!G26</f>
        <v>2.8669568310433227E-2</v>
      </c>
      <c r="H38" s="105">
        <f>'Z+D_DE Marinas_Scenario_Cal'!H26</f>
        <v>0.90960670779245911</v>
      </c>
      <c r="J38"/>
      <c r="N38" s="57"/>
    </row>
    <row r="39" spans="1:25" s="74" customFormat="1" ht="12.75" customHeight="1" x14ac:dyDescent="0.2">
      <c r="A39" s="57"/>
      <c r="B39" s="1"/>
      <c r="C39" s="127" t="s">
        <v>13</v>
      </c>
      <c r="D39" s="128"/>
      <c r="E39" s="105">
        <f>'Z+D_DE Marinas_Scenario_Cal'!E27</f>
        <v>0.45028116062843632</v>
      </c>
      <c r="F39" s="105">
        <f>'Z+D_DE Marinas_Scenario_Cal'!F27</f>
        <v>5.6008180820507049E-2</v>
      </c>
      <c r="G39" s="105">
        <f>'Z+D_DE Marinas_Scenario_Cal'!G27</f>
        <v>4.6856152664563632E-4</v>
      </c>
      <c r="H39" s="105">
        <f>'Z+D_DE Marinas_Scenario_Cal'!H27</f>
        <v>5.8113189399323316E-5</v>
      </c>
      <c r="N39" s="57"/>
    </row>
    <row r="40" spans="1:25" x14ac:dyDescent="0.2">
      <c r="A40" s="57"/>
      <c r="C40" s="63"/>
      <c r="D40" s="63"/>
      <c r="E40" s="63"/>
      <c r="F40" s="63"/>
      <c r="G40" s="63"/>
      <c r="H40" s="63"/>
      <c r="N40" s="57"/>
    </row>
    <row r="41" spans="1:25" x14ac:dyDescent="0.2">
      <c r="A41" s="57"/>
      <c r="B41" s="57"/>
      <c r="C41" s="58"/>
      <c r="D41" s="57"/>
      <c r="E41" s="57"/>
      <c r="F41" s="57"/>
      <c r="G41" s="57"/>
      <c r="H41" s="57"/>
      <c r="I41" s="57"/>
      <c r="J41" s="57"/>
      <c r="K41" s="57"/>
      <c r="L41" s="57"/>
      <c r="M41" s="57"/>
      <c r="N41" s="57"/>
      <c r="P41" s="64"/>
      <c r="Q41" s="64"/>
      <c r="R41" s="63"/>
      <c r="S41" s="63"/>
      <c r="T41" s="63"/>
      <c r="U41" s="63"/>
      <c r="V41" s="63"/>
      <c r="W41" s="63"/>
      <c r="X41" s="10"/>
      <c r="Y41" s="1"/>
    </row>
    <row r="42" spans="1:25" x14ac:dyDescent="0.2">
      <c r="A42" s="57"/>
      <c r="C42" s="53" t="s">
        <v>79</v>
      </c>
      <c r="N42" s="57"/>
    </row>
    <row r="43" spans="1:25" x14ac:dyDescent="0.2">
      <c r="A43" s="57"/>
      <c r="B43"/>
      <c r="N43" s="57"/>
    </row>
    <row r="44" spans="1:25" s="74" customFormat="1" x14ac:dyDescent="0.2">
      <c r="A44" s="57"/>
      <c r="B44" s="1"/>
      <c r="C44" s="83"/>
      <c r="D44" s="83"/>
      <c r="E44" s="84"/>
      <c r="F44" s="84"/>
      <c r="G44" s="84"/>
      <c r="H44" s="84"/>
      <c r="J44" s="1"/>
      <c r="N44" s="57"/>
    </row>
    <row r="45" spans="1:25" s="56" customFormat="1" x14ac:dyDescent="0.2">
      <c r="A45" s="57"/>
      <c r="C45" s="52" t="s">
        <v>77</v>
      </c>
      <c r="J45" s="1"/>
      <c r="N45" s="57"/>
    </row>
    <row r="46" spans="1:25" x14ac:dyDescent="0.2">
      <c r="A46" s="57"/>
      <c r="C46" t="s">
        <v>83</v>
      </c>
      <c r="N46" s="57"/>
    </row>
    <row r="47" spans="1:25" ht="105.95" customHeight="1" x14ac:dyDescent="0.2">
      <c r="A47" s="57"/>
      <c r="C47" s="54" t="s">
        <v>8</v>
      </c>
      <c r="D47" s="130" t="s">
        <v>9</v>
      </c>
      <c r="E47" s="104" t="s">
        <v>111</v>
      </c>
      <c r="F47" s="104" t="s">
        <v>129</v>
      </c>
      <c r="G47" s="104" t="s">
        <v>135</v>
      </c>
      <c r="H47" s="104" t="s">
        <v>130</v>
      </c>
      <c r="N47" s="57"/>
    </row>
    <row r="48" spans="1:25" x14ac:dyDescent="0.2">
      <c r="A48" s="57"/>
      <c r="C48" s="107" t="str">
        <f>'Z+D_DE Marinas_Scenario_Cal'!B7</f>
        <v>Inland water marina 1</v>
      </c>
      <c r="D48" s="107" t="str">
        <f>'Z+D_DE Marinas_Scenario_Cal'!C7</f>
        <v>DE</v>
      </c>
      <c r="E48" s="105">
        <f>'Z+D_DE Marinas_Scenario_Cal'!E7</f>
        <v>27.658892446993285</v>
      </c>
      <c r="F48" s="105">
        <f>'Z+D_DE Marinas_Scenario_Cal'!F7</f>
        <v>4.2540249591711099</v>
      </c>
      <c r="G48" s="105">
        <f>'Z+D_DE Marinas_Scenario_Cal'!G7</f>
        <v>6.7085728786613315E-3</v>
      </c>
      <c r="H48" s="105">
        <f>'Z+D_DE Marinas_Scenario_Cal'!H7</f>
        <v>1.0315201664514826E-3</v>
      </c>
      <c r="N48" s="57"/>
    </row>
    <row r="49" spans="1:14" x14ac:dyDescent="0.2">
      <c r="A49" s="57"/>
      <c r="C49" s="107" t="str">
        <f>'Z+D_DE Marinas_Scenario_Cal'!B8</f>
        <v>Inland water marina 2</v>
      </c>
      <c r="D49" s="107" t="str">
        <f>'Z+D_DE Marinas_Scenario_Cal'!C8</f>
        <v>DE</v>
      </c>
      <c r="E49" s="105">
        <f>'Z+D_DE Marinas_Scenario_Cal'!E8</f>
        <v>14.224497178964683</v>
      </c>
      <c r="F49" s="105">
        <f>'Z+D_DE Marinas_Scenario_Cal'!F8</f>
        <v>18.928928824060936</v>
      </c>
      <c r="G49" s="105">
        <f>'Z+D_DE Marinas_Scenario_Cal'!G8</f>
        <v>4.472946516121179E-3</v>
      </c>
      <c r="H49" s="105">
        <f>'Z+D_DE Marinas_Scenario_Cal'!H8</f>
        <v>5.9417994396120666E-3</v>
      </c>
      <c r="N49" s="57"/>
    </row>
    <row r="50" spans="1:14" x14ac:dyDescent="0.2">
      <c r="A50" s="57"/>
      <c r="C50" s="107" t="str">
        <f>'Z+D_DE Marinas_Scenario_Cal'!B9</f>
        <v>Inland water marina 3</v>
      </c>
      <c r="D50" s="107" t="str">
        <f>'Z+D_DE Marinas_Scenario_Cal'!C9</f>
        <v>DE</v>
      </c>
      <c r="E50" s="105">
        <f>'Z+D_DE Marinas_Scenario_Cal'!E9</f>
        <v>28.503340030330254</v>
      </c>
      <c r="F50" s="105">
        <f>'Z+D_DE Marinas_Scenario_Cal'!F9</f>
        <v>75.071548232054454</v>
      </c>
      <c r="G50" s="105">
        <f>'Z+D_DE Marinas_Scenario_Cal'!G9</f>
        <v>1.0604654678151221E-2</v>
      </c>
      <c r="H50" s="105">
        <f>'Z+D_DE Marinas_Scenario_Cal'!H9</f>
        <v>2.7933721856710444E-2</v>
      </c>
      <c r="N50" s="57"/>
    </row>
    <row r="51" spans="1:14" x14ac:dyDescent="0.2">
      <c r="A51" s="57"/>
      <c r="C51" s="107" t="str">
        <f>'Z+D_DE Marinas_Scenario_Cal'!B10</f>
        <v>Inland water marina 4</v>
      </c>
      <c r="D51" s="107" t="str">
        <f>'Z+D_DE Marinas_Scenario_Cal'!C10</f>
        <v>DE</v>
      </c>
      <c r="E51" s="105">
        <f>'Z+D_DE Marinas_Scenario_Cal'!E10</f>
        <v>6.4519261603761953</v>
      </c>
      <c r="F51" s="105">
        <f>'Z+D_DE Marinas_Scenario_Cal'!F10</f>
        <v>33.739398586708425</v>
      </c>
      <c r="G51" s="105">
        <f>'Z+D_DE Marinas_Scenario_Cal'!G10</f>
        <v>3.6108725000785027E-3</v>
      </c>
      <c r="H51" s="105">
        <f>'Z+D_DE Marinas_Scenario_Cal'!H10</f>
        <v>1.8884553935929933E-2</v>
      </c>
      <c r="N51" s="57"/>
    </row>
    <row r="52" spans="1:14" x14ac:dyDescent="0.2">
      <c r="A52" s="57"/>
      <c r="C52" s="107" t="str">
        <f>'Z+D_DE Marinas_Scenario_Cal'!B11</f>
        <v>Inland water marina 5</v>
      </c>
      <c r="D52" s="107" t="str">
        <f>'Z+D_DE Marinas_Scenario_Cal'!C11</f>
        <v>DE</v>
      </c>
      <c r="E52" s="105">
        <f>'Z+D_DE Marinas_Scenario_Cal'!E11</f>
        <v>1.6869781102654231</v>
      </c>
      <c r="F52" s="105">
        <f>'Z+D_DE Marinas_Scenario_Cal'!F11</f>
        <v>8.438138522226474</v>
      </c>
      <c r="G52" s="105">
        <f>'Z+D_DE Marinas_Scenario_Cal'!G11</f>
        <v>7.2114595781828147E-4</v>
      </c>
      <c r="H52" s="105">
        <f>'Z+D_DE Marinas_Scenario_Cal'!H11</f>
        <v>3.6062796195252618E-3</v>
      </c>
      <c r="N52" s="57"/>
    </row>
    <row r="53" spans="1:14" x14ac:dyDescent="0.2">
      <c r="A53" s="57"/>
      <c r="C53" s="107" t="str">
        <f>'Z+D_DE Marinas_Scenario_Cal'!B12</f>
        <v>Inland water marina 6</v>
      </c>
      <c r="D53" s="107" t="str">
        <f>'Z+D_DE Marinas_Scenario_Cal'!C12</f>
        <v>DE</v>
      </c>
      <c r="E53" s="105">
        <f>'Z+D_DE Marinas_Scenario_Cal'!E12</f>
        <v>4.2891187598917737</v>
      </c>
      <c r="F53" s="105">
        <f>'Z+D_DE Marinas_Scenario_Cal'!F12</f>
        <v>4.7026258849218552</v>
      </c>
      <c r="G53" s="105">
        <f>'Z+D_DE Marinas_Scenario_Cal'!G12</f>
        <v>3.8076109683670804E-3</v>
      </c>
      <c r="H53" s="105">
        <f>'Z+D_DE Marinas_Scenario_Cal'!H12</f>
        <v>4.173589480025647E-3</v>
      </c>
      <c r="N53" s="57"/>
    </row>
    <row r="54" spans="1:14" x14ac:dyDescent="0.2">
      <c r="A54" s="57"/>
      <c r="C54" s="107" t="str">
        <f>'Z+D_DE Marinas_Scenario_Cal'!B13</f>
        <v>Inland water marina 7</v>
      </c>
      <c r="D54" s="107" t="str">
        <f>'Z+D_DE Marinas_Scenario_Cal'!C13</f>
        <v>DE</v>
      </c>
      <c r="E54" s="105">
        <f>'Z+D_DE Marinas_Scenario_Cal'!E13</f>
        <v>17.901233746853837</v>
      </c>
      <c r="F54" s="105">
        <f>'Z+D_DE Marinas_Scenario_Cal'!F13</f>
        <v>1.7996929231728593</v>
      </c>
      <c r="G54" s="105">
        <f>'Z+D_DE Marinas_Scenario_Cal'!G13</f>
        <v>1.2749693577207365E-2</v>
      </c>
      <c r="H54" s="105">
        <f>'Z+D_DE Marinas_Scenario_Cal'!H13</f>
        <v>1.2795515592017863E-3</v>
      </c>
      <c r="N54" s="57"/>
    </row>
    <row r="55" spans="1:14" x14ac:dyDescent="0.2">
      <c r="A55" s="57"/>
      <c r="C55" s="107" t="str">
        <f>'Z+D_DE Marinas_Scenario_Cal'!B14</f>
        <v>Inland water marina 8</v>
      </c>
      <c r="D55" s="107" t="str">
        <f>'Z+D_DE Marinas_Scenario_Cal'!C14</f>
        <v>DE</v>
      </c>
      <c r="E55" s="105">
        <f>'Z+D_DE Marinas_Scenario_Cal'!E14</f>
        <v>29.623577090299467</v>
      </c>
      <c r="F55" s="105">
        <f>'Z+D_DE Marinas_Scenario_Cal'!F14</f>
        <v>2168.3323279492429</v>
      </c>
      <c r="G55" s="105">
        <f>'Z+D_DE Marinas_Scenario_Cal'!G14</f>
        <v>1.2442079718575364E-2</v>
      </c>
      <c r="H55" s="105">
        <f>'Z+D_DE Marinas_Scenario_Cal'!H14</f>
        <v>0.90960670779245911</v>
      </c>
      <c r="N55" s="57"/>
    </row>
    <row r="56" spans="1:14" x14ac:dyDescent="0.2">
      <c r="A56" s="57"/>
      <c r="C56" s="107" t="str">
        <f>'Z+D_DE Marinas_Scenario_Cal'!B15</f>
        <v>Inland water marina 9</v>
      </c>
      <c r="D56" s="107" t="str">
        <f>'Z+D_DE Marinas_Scenario_Cal'!C15</f>
        <v>DE</v>
      </c>
      <c r="E56" s="105">
        <f>'Z+D_DE Marinas_Scenario_Cal'!E15</f>
        <v>5.9531774047971426</v>
      </c>
      <c r="F56" s="105">
        <f>'Z+D_DE Marinas_Scenario_Cal'!F15</f>
        <v>4.9149796516638578</v>
      </c>
      <c r="G56" s="105">
        <f>'Z+D_DE Marinas_Scenario_Cal'!G15</f>
        <v>1.4446139945456E-2</v>
      </c>
      <c r="H56" s="105">
        <f>'Z+D_DE Marinas_Scenario_Cal'!H15</f>
        <v>1.1926338034566513E-2</v>
      </c>
      <c r="N56" s="57"/>
    </row>
    <row r="57" spans="1:14" x14ac:dyDescent="0.2">
      <c r="A57" s="57"/>
      <c r="C57" s="107" t="str">
        <f>'Z+D_DE Marinas_Scenario_Cal'!B16</f>
        <v>Inland water marina 10</v>
      </c>
      <c r="D57" s="107" t="str">
        <f>'Z+D_DE Marinas_Scenario_Cal'!C16</f>
        <v>DE</v>
      </c>
      <c r="E57" s="105">
        <f>'Z+D_DE Marinas_Scenario_Cal'!E16</f>
        <v>0.45028116062843632</v>
      </c>
      <c r="F57" s="105">
        <f>'Z+D_DE Marinas_Scenario_Cal'!F16</f>
        <v>5.6008180820507049E-2</v>
      </c>
      <c r="G57" s="105">
        <f>'Z+D_DE Marinas_Scenario_Cal'!G16</f>
        <v>4.6856152664563632E-4</v>
      </c>
      <c r="H57" s="105">
        <f>'Z+D_DE Marinas_Scenario_Cal'!H16</f>
        <v>5.8113189399323316E-5</v>
      </c>
      <c r="N57" s="57"/>
    </row>
    <row r="58" spans="1:14" x14ac:dyDescent="0.2">
      <c r="A58" s="57"/>
      <c r="C58" s="107" t="str">
        <f>'Z+D_DE Marinas_Scenario_Cal'!B17</f>
        <v>Inland water marina 11</v>
      </c>
      <c r="D58" s="107" t="str">
        <f>'Z+D_DE Marinas_Scenario_Cal'!C17</f>
        <v>DE</v>
      </c>
      <c r="E58" s="105">
        <f>'Z+D_DE Marinas_Scenario_Cal'!E17</f>
        <v>42.97071139407651</v>
      </c>
      <c r="F58" s="105">
        <f>'Z+D_DE Marinas_Scenario_Cal'!F17</f>
        <v>47.532622586876606</v>
      </c>
      <c r="G58" s="105">
        <f>'Z+D_DE Marinas_Scenario_Cal'!G17</f>
        <v>1.9330146602928321E-2</v>
      </c>
      <c r="H58" s="105">
        <f>'Z+D_DE Marinas_Scenario_Cal'!H17</f>
        <v>2.1375935703883429E-2</v>
      </c>
      <c r="N58" s="57"/>
    </row>
    <row r="59" spans="1:14" x14ac:dyDescent="0.2">
      <c r="A59" s="57"/>
      <c r="C59" s="107" t="str">
        <f>'Z+D_DE Marinas_Scenario_Cal'!B18</f>
        <v>Inland water marina 12</v>
      </c>
      <c r="D59" s="107" t="str">
        <f>'Z+D_DE Marinas_Scenario_Cal'!C18</f>
        <v>DE</v>
      </c>
      <c r="E59" s="105">
        <f>'Z+D_DE Marinas_Scenario_Cal'!E18</f>
        <v>45.297207063250951</v>
      </c>
      <c r="F59" s="105">
        <f>'Z+D_DE Marinas_Scenario_Cal'!F18</f>
        <v>21.52934728673231</v>
      </c>
      <c r="G59" s="105">
        <f>'Z+D_DE Marinas_Scenario_Cal'!G18</f>
        <v>2.8669568310433227E-2</v>
      </c>
      <c r="H59" s="105">
        <f>'Z+D_DE Marinas_Scenario_Cal'!H18</f>
        <v>1.3610886901207193E-2</v>
      </c>
      <c r="N59" s="57"/>
    </row>
    <row r="60" spans="1:14" x14ac:dyDescent="0.2">
      <c r="A60" s="57"/>
      <c r="C60" s="107" t="str">
        <f>'Z+D_DE Marinas_Scenario_Cal'!B19</f>
        <v>Inland water marina 13</v>
      </c>
      <c r="D60" s="107" t="str">
        <f>'Z+D_DE Marinas_Scenario_Cal'!C19</f>
        <v>DE</v>
      </c>
      <c r="E60" s="105">
        <f>'Z+D_DE Marinas_Scenario_Cal'!E19</f>
        <v>13.295427357548338</v>
      </c>
      <c r="F60" s="105">
        <f>'Z+D_DE Marinas_Scenario_Cal'!F19</f>
        <v>21.705584049878773</v>
      </c>
      <c r="G60" s="105">
        <f>'Z+D_DE Marinas_Scenario_Cal'!G19</f>
        <v>6.4204119871689161E-3</v>
      </c>
      <c r="H60" s="105">
        <f>'Z+D_DE Marinas_Scenario_Cal'!H19</f>
        <v>1.0451205243498712E-2</v>
      </c>
      <c r="N60" s="57"/>
    </row>
    <row r="61" spans="1:14" x14ac:dyDescent="0.2">
      <c r="A61" s="57"/>
      <c r="C61" s="107" t="str">
        <f>'Z+D_DE Marinas_Scenario_Cal'!B20</f>
        <v>Inland water marina 14</v>
      </c>
      <c r="D61" s="107" t="str">
        <f>'Z+D_DE Marinas_Scenario_Cal'!C20</f>
        <v>DE</v>
      </c>
      <c r="E61" s="105">
        <f>'Z+D_DE Marinas_Scenario_Cal'!E20</f>
        <v>8.7221548916865856</v>
      </c>
      <c r="F61" s="105">
        <f>'Z+D_DE Marinas_Scenario_Cal'!F20</f>
        <v>0.50665326265754584</v>
      </c>
      <c r="G61" s="105">
        <f>'Z+D_DE Marinas_Scenario_Cal'!G20</f>
        <v>1.7914320304771244E-3</v>
      </c>
      <c r="H61" s="105">
        <f>'Z+D_DE Marinas_Scenario_Cal'!H20</f>
        <v>1.038834902348047E-4</v>
      </c>
      <c r="N61" s="57"/>
    </row>
    <row r="62" spans="1:14" x14ac:dyDescent="0.2">
      <c r="A62" s="57"/>
      <c r="C62" s="107" t="str">
        <f>'Z+D_DE Marinas_Scenario_Cal'!B21</f>
        <v>Inland water marina 15</v>
      </c>
      <c r="D62" s="107" t="str">
        <f>'Z+D_DE Marinas_Scenario_Cal'!C21</f>
        <v>DE</v>
      </c>
      <c r="E62" s="105">
        <f>'Z+D_DE Marinas_Scenario_Cal'!E21</f>
        <v>61.006027265098801</v>
      </c>
      <c r="F62" s="105">
        <f>'Z+D_DE Marinas_Scenario_Cal'!F21</f>
        <v>8.9315411365247304</v>
      </c>
      <c r="G62" s="105">
        <f>'Z+D_DE Marinas_Scenario_Cal'!G21</f>
        <v>4.5756847863975955E-3</v>
      </c>
      <c r="H62" s="105">
        <f>'Z+D_DE Marinas_Scenario_Cal'!H21</f>
        <v>6.6907042466786643E-4</v>
      </c>
      <c r="N62" s="57"/>
    </row>
    <row r="63" spans="1:14" x14ac:dyDescent="0.2">
      <c r="A63" s="57"/>
      <c r="C63" s="107" t="str">
        <f>'Z+D_DE Marinas_Scenario_Cal'!B22</f>
        <v>Inland water marina 16</v>
      </c>
      <c r="D63" s="107" t="str">
        <f>'Z+D_DE Marinas_Scenario_Cal'!C22</f>
        <v>DE</v>
      </c>
      <c r="E63" s="105">
        <f>'Z+D_DE Marinas_Scenario_Cal'!E22</f>
        <v>60.443418813644882</v>
      </c>
      <c r="F63" s="105">
        <f>'Z+D_DE Marinas_Scenario_Cal'!F22</f>
        <v>33.465708252763797</v>
      </c>
      <c r="G63" s="105">
        <f>'Z+D_DE Marinas_Scenario_Cal'!G22</f>
        <v>6.1560204767025879E-3</v>
      </c>
      <c r="H63" s="105">
        <f>'Z+D_DE Marinas_Scenario_Cal'!H22</f>
        <v>3.4058358494212606E-3</v>
      </c>
      <c r="N63" s="57"/>
    </row>
    <row r="64" spans="1:14" x14ac:dyDescent="0.2">
      <c r="A64" s="57"/>
      <c r="C64" s="107" t="str">
        <f>'Z+D_DE Marinas_Scenario_Cal'!B23</f>
        <v>Inland water marina 17</v>
      </c>
      <c r="D64" s="107" t="str">
        <f>'Z+D_DE Marinas_Scenario_Cal'!C23</f>
        <v>DE</v>
      </c>
      <c r="E64" s="105">
        <f>'Z+D_DE Marinas_Scenario_Cal'!E23</f>
        <v>12.014134466596941</v>
      </c>
      <c r="F64" s="105">
        <f>'Z+D_DE Marinas_Scenario_Cal'!F23</f>
        <v>12.556818469726906</v>
      </c>
      <c r="G64" s="105">
        <f>'Z+D_DE Marinas_Scenario_Cal'!G23</f>
        <v>1.8464610055261708E-2</v>
      </c>
      <c r="H64" s="105">
        <f>'Z+D_DE Marinas_Scenario_Cal'!H23</f>
        <v>1.9257293819146142E-2</v>
      </c>
      <c r="N64" s="57"/>
    </row>
    <row r="65" spans="1:14" x14ac:dyDescent="0.2">
      <c r="A65" s="57"/>
      <c r="B65"/>
      <c r="N65" s="57"/>
    </row>
    <row r="66" spans="1:14" x14ac:dyDescent="0.2">
      <c r="A66" s="57"/>
      <c r="B66" s="57"/>
      <c r="C66" s="57"/>
      <c r="D66" s="57"/>
      <c r="E66" s="57"/>
      <c r="F66" s="57"/>
      <c r="G66" s="57"/>
      <c r="H66" s="57"/>
      <c r="I66" s="57"/>
      <c r="J66" s="57"/>
      <c r="K66" s="57"/>
      <c r="L66" s="57"/>
      <c r="M66" s="57"/>
      <c r="N66" s="57"/>
    </row>
    <row r="67" spans="1:14" hidden="1" x14ac:dyDescent="0.2"/>
    <row r="68" spans="1:14" hidden="1" x14ac:dyDescent="0.2"/>
    <row r="69" spans="1:14" hidden="1" x14ac:dyDescent="0.2"/>
    <row r="70" spans="1:14" hidden="1" x14ac:dyDescent="0.2"/>
    <row r="71" spans="1:14" hidden="1" x14ac:dyDescent="0.2"/>
    <row r="72" spans="1:14" hidden="1" x14ac:dyDescent="0.2"/>
    <row r="73" spans="1:14" hidden="1" x14ac:dyDescent="0.2"/>
    <row r="74" spans="1:14" hidden="1" x14ac:dyDescent="0.2"/>
    <row r="75" spans="1:14" hidden="1" x14ac:dyDescent="0.2"/>
    <row r="76" spans="1:14" hidden="1" x14ac:dyDescent="0.2"/>
    <row r="77" spans="1:14" hidden="1" x14ac:dyDescent="0.2"/>
    <row r="78" spans="1:14" hidden="1" x14ac:dyDescent="0.2"/>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sheetData>
  <mergeCells count="13">
    <mergeCell ref="C28:F28"/>
    <mergeCell ref="C35:D35"/>
    <mergeCell ref="C37:D37"/>
    <mergeCell ref="C38:D38"/>
    <mergeCell ref="C36:D36"/>
    <mergeCell ref="C9:F9"/>
    <mergeCell ref="C11:F11"/>
    <mergeCell ref="C16:F16"/>
    <mergeCell ref="C23:F23"/>
    <mergeCell ref="C20:E20"/>
    <mergeCell ref="C21:E21"/>
    <mergeCell ref="C18:E18"/>
    <mergeCell ref="C19:E19"/>
  </mergeCells>
  <conditionalFormatting sqref="E48:H64">
    <cfRule type="cellIs" dxfId="24" priority="4" operator="greaterThan">
      <formula>1</formula>
    </cfRule>
  </conditionalFormatting>
  <conditionalFormatting sqref="E37:H39">
    <cfRule type="cellIs" dxfId="23" priority="2" operator="greaterThan">
      <formula>1</formula>
    </cfRule>
  </conditionalFormatting>
  <conditionalFormatting sqref="E36:H36">
    <cfRule type="cellIs" dxfId="22" priority="1" operator="greaterThan">
      <formula>1</formula>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4.9989318521683403E-2"/>
  </sheetPr>
  <dimension ref="A1:Z397"/>
  <sheetViews>
    <sheetView zoomScale="85" zoomScaleNormal="85" workbookViewId="0">
      <selection activeCell="D4" sqref="D4:E4"/>
    </sheetView>
  </sheetViews>
  <sheetFormatPr baseColWidth="10" defaultColWidth="0" defaultRowHeight="12.75" zeroHeight="1" x14ac:dyDescent="0.2"/>
  <cols>
    <col min="1" max="2" width="3.125" style="1" customWidth="1"/>
    <col min="3" max="3" width="23.75" style="74" customWidth="1"/>
    <col min="4" max="4" width="3.625" style="74" customWidth="1"/>
    <col min="5" max="9" width="16.625" style="74" customWidth="1"/>
    <col min="10" max="10" width="16.625" style="1" customWidth="1"/>
    <col min="11" max="12" width="16.625" style="74" customWidth="1"/>
    <col min="13" max="13" width="3.125" style="74" customWidth="1"/>
    <col min="14" max="14" width="3" style="74" customWidth="1"/>
    <col min="15" max="15" width="12.75" style="74" hidden="1" customWidth="1"/>
    <col min="16" max="16" width="12.25" style="74" hidden="1" customWidth="1"/>
    <col min="17" max="17" width="12.5" style="74" hidden="1" customWidth="1"/>
    <col min="18" max="18" width="12.25" style="74" hidden="1" customWidth="1"/>
    <col min="19" max="26" width="0" style="74" hidden="1" customWidth="1"/>
    <col min="27" max="16384" width="9" style="74" hidden="1"/>
  </cols>
  <sheetData>
    <row r="1" spans="1:14" x14ac:dyDescent="0.2">
      <c r="A1" s="57"/>
      <c r="B1" s="57"/>
      <c r="C1" s="57"/>
      <c r="D1" s="57"/>
      <c r="E1" s="57"/>
      <c r="F1" s="57"/>
      <c r="G1" s="57"/>
      <c r="H1" s="57"/>
      <c r="I1" s="57"/>
      <c r="J1" s="57"/>
      <c r="K1" s="57"/>
      <c r="L1" s="57"/>
      <c r="M1" s="57"/>
      <c r="N1" s="57"/>
    </row>
    <row r="2" spans="1:14" x14ac:dyDescent="0.2">
      <c r="A2" s="57"/>
      <c r="K2" s="1"/>
      <c r="N2" s="57"/>
    </row>
    <row r="3" spans="1:14" x14ac:dyDescent="0.2">
      <c r="A3" s="57"/>
      <c r="C3" s="51" t="s">
        <v>73</v>
      </c>
      <c r="D3" s="51"/>
      <c r="E3" s="51"/>
      <c r="F3" s="51"/>
      <c r="G3" s="51"/>
      <c r="H3" s="51"/>
      <c r="I3" s="51"/>
      <c r="J3" s="59"/>
      <c r="K3" s="59"/>
      <c r="L3" s="73">
        <f ca="1">TODAY()</f>
        <v>44001</v>
      </c>
      <c r="N3" s="57"/>
    </row>
    <row r="4" spans="1:14" x14ac:dyDescent="0.2">
      <c r="A4" s="57"/>
      <c r="C4" s="113" t="str">
        <f>Tooltype</f>
        <v>Calculator tool for the German scenario for inland water marinas</v>
      </c>
      <c r="D4" s="113"/>
      <c r="E4" s="113"/>
      <c r="K4" s="1"/>
      <c r="N4" s="57"/>
    </row>
    <row r="5" spans="1:14" x14ac:dyDescent="0.2">
      <c r="A5" s="57"/>
      <c r="K5" s="1"/>
      <c r="N5" s="57"/>
    </row>
    <row r="6" spans="1:14" x14ac:dyDescent="0.2">
      <c r="A6" s="57"/>
      <c r="C6" s="52" t="s">
        <v>74</v>
      </c>
      <c r="D6" s="74" t="str">
        <f>Z_Compound_Name</f>
        <v>Zineb</v>
      </c>
      <c r="K6" s="1"/>
      <c r="N6" s="57"/>
    </row>
    <row r="7" spans="1:14" x14ac:dyDescent="0.2">
      <c r="A7" s="57"/>
      <c r="C7" s="52" t="s">
        <v>75</v>
      </c>
      <c r="D7" s="74" t="str">
        <f>Version</f>
        <v>Version Final 1.0</v>
      </c>
      <c r="K7" s="1"/>
      <c r="N7" s="57"/>
    </row>
    <row r="8" spans="1:14" x14ac:dyDescent="0.2">
      <c r="A8" s="57"/>
      <c r="K8" s="1"/>
      <c r="N8" s="57"/>
    </row>
    <row r="9" spans="1:14" x14ac:dyDescent="0.2">
      <c r="A9" s="57"/>
      <c r="C9" s="147" t="s">
        <v>14</v>
      </c>
      <c r="D9" s="147"/>
      <c r="E9" s="147"/>
      <c r="F9" s="147"/>
      <c r="K9" s="1"/>
      <c r="N9" s="57"/>
    </row>
    <row r="10" spans="1:14" x14ac:dyDescent="0.2">
      <c r="A10" s="57"/>
      <c r="C10" s="53"/>
      <c r="K10" s="1"/>
      <c r="N10" s="57"/>
    </row>
    <row r="11" spans="1:14" x14ac:dyDescent="0.2">
      <c r="A11" s="57"/>
      <c r="C11" s="148" t="s">
        <v>82</v>
      </c>
      <c r="D11" s="148"/>
      <c r="E11" s="148"/>
      <c r="F11" s="148"/>
      <c r="K11" s="1"/>
      <c r="N11" s="57"/>
    </row>
    <row r="12" spans="1:14" x14ac:dyDescent="0.2">
      <c r="A12" s="57"/>
      <c r="C12" s="74" t="s">
        <v>64</v>
      </c>
      <c r="E12" s="74">
        <f>Application_Factor</f>
        <v>0.9</v>
      </c>
      <c r="K12" s="1"/>
      <c r="N12" s="57"/>
    </row>
    <row r="13" spans="1:14" x14ac:dyDescent="0.2">
      <c r="A13" s="57"/>
      <c r="C13" s="74" t="s">
        <v>81</v>
      </c>
      <c r="E13" s="119">
        <f>IF(ISBLANK(Z_Average_biocide_release_over_the_lifetime_of_the_paint_M),Z_User_Input!I30,Z_Average_biocide_release_over_the_lifetime_of_the_paint_M)</f>
        <v>2.5</v>
      </c>
      <c r="K13" s="1"/>
      <c r="N13" s="57"/>
    </row>
    <row r="14" spans="1:14" x14ac:dyDescent="0.2">
      <c r="A14" s="57"/>
      <c r="K14" s="1"/>
      <c r="N14" s="57"/>
    </row>
    <row r="15" spans="1:14" x14ac:dyDescent="0.2">
      <c r="A15" s="57"/>
      <c r="C15" s="148" t="s">
        <v>56</v>
      </c>
      <c r="D15" s="148"/>
      <c r="E15" s="148"/>
      <c r="F15" s="148"/>
      <c r="K15" s="1"/>
      <c r="N15" s="57"/>
    </row>
    <row r="16" spans="1:14" x14ac:dyDescent="0.2">
      <c r="A16" s="57"/>
      <c r="C16" s="149" t="s">
        <v>105</v>
      </c>
      <c r="D16" s="149"/>
      <c r="E16" s="149"/>
      <c r="F16" s="120">
        <f>Z_PNEC_Aquatic_Inside</f>
        <v>0.219</v>
      </c>
      <c r="K16" s="1"/>
      <c r="N16" s="57"/>
    </row>
    <row r="17" spans="1:22" x14ac:dyDescent="0.2">
      <c r="A17" s="57"/>
      <c r="C17" s="149" t="s">
        <v>104</v>
      </c>
      <c r="D17" s="149"/>
      <c r="E17" s="149"/>
      <c r="F17" s="120">
        <f>Z_PNEC_Sediment_Inside</f>
        <v>4.5499999999999999E-2</v>
      </c>
      <c r="K17" s="1"/>
      <c r="N17" s="57"/>
    </row>
    <row r="18" spans="1:22" x14ac:dyDescent="0.2">
      <c r="A18" s="57"/>
      <c r="C18" s="149" t="s">
        <v>103</v>
      </c>
      <c r="D18" s="149"/>
      <c r="E18" s="149"/>
      <c r="F18" s="120">
        <f>Z_PNEC_Aquatic_Surrounding</f>
        <v>0.219</v>
      </c>
      <c r="K18" s="1"/>
      <c r="N18" s="57"/>
    </row>
    <row r="19" spans="1:22" x14ac:dyDescent="0.2">
      <c r="A19" s="57"/>
      <c r="C19" s="149" t="s">
        <v>102</v>
      </c>
      <c r="D19" s="149"/>
      <c r="E19" s="149"/>
      <c r="F19" s="120">
        <f>Z_PNEC_Sediment_Surrounding</f>
        <v>4.5499999999999999E-2</v>
      </c>
      <c r="K19" s="1"/>
      <c r="N19" s="57"/>
    </row>
    <row r="20" spans="1:22" x14ac:dyDescent="0.2">
      <c r="A20" s="57"/>
      <c r="K20" s="1"/>
      <c r="N20" s="57"/>
    </row>
    <row r="21" spans="1:22" x14ac:dyDescent="0.2">
      <c r="A21" s="57"/>
      <c r="C21" s="148" t="s">
        <v>54</v>
      </c>
      <c r="D21" s="148"/>
      <c r="E21" s="148"/>
      <c r="F21" s="148"/>
      <c r="K21" s="1"/>
      <c r="N21" s="57"/>
    </row>
    <row r="22" spans="1:22" ht="25.5" x14ac:dyDescent="0.2">
      <c r="A22" s="57"/>
      <c r="E22" s="102" t="s">
        <v>98</v>
      </c>
      <c r="F22" s="102" t="s">
        <v>99</v>
      </c>
      <c r="K22" s="1"/>
      <c r="N22" s="57"/>
    </row>
    <row r="23" spans="1:22" x14ac:dyDescent="0.2">
      <c r="A23" s="57"/>
      <c r="C23" s="74" t="s">
        <v>193</v>
      </c>
      <c r="E23" s="103">
        <f>Z_Background_SW_Freshwater</f>
        <v>0</v>
      </c>
      <c r="F23" s="103">
        <f>Z_Background_Sed_Freshwater</f>
        <v>0</v>
      </c>
      <c r="K23" s="1"/>
      <c r="N23" s="57"/>
    </row>
    <row r="24" spans="1:22" x14ac:dyDescent="0.2">
      <c r="A24" s="57"/>
      <c r="K24" s="1"/>
      <c r="N24" s="70"/>
      <c r="O24" s="63"/>
      <c r="P24" s="63"/>
    </row>
    <row r="25" spans="1:22" x14ac:dyDescent="0.2">
      <c r="A25" s="57"/>
      <c r="K25" s="1"/>
      <c r="N25" s="70"/>
      <c r="O25" s="63"/>
      <c r="P25" s="63"/>
    </row>
    <row r="26" spans="1:22" x14ac:dyDescent="0.2">
      <c r="A26" s="57"/>
      <c r="C26" s="53" t="s">
        <v>78</v>
      </c>
      <c r="K26" s="1"/>
      <c r="N26" s="70"/>
      <c r="O26" s="63"/>
      <c r="P26" s="63"/>
    </row>
    <row r="27" spans="1:22" x14ac:dyDescent="0.2">
      <c r="A27" s="57"/>
      <c r="N27" s="70"/>
      <c r="O27" s="63"/>
      <c r="P27" s="63"/>
    </row>
    <row r="28" spans="1:22" ht="80.099999999999994" customHeight="1" x14ac:dyDescent="0.2">
      <c r="A28" s="57"/>
      <c r="C28" s="150" t="s">
        <v>193</v>
      </c>
      <c r="D28" s="151"/>
      <c r="E28" s="104" t="s">
        <v>131</v>
      </c>
      <c r="F28" s="104" t="s">
        <v>132</v>
      </c>
      <c r="G28" s="104" t="s">
        <v>133</v>
      </c>
      <c r="H28" s="104" t="s">
        <v>134</v>
      </c>
      <c r="I28" s="104" t="s">
        <v>58</v>
      </c>
      <c r="J28" s="104" t="s">
        <v>126</v>
      </c>
      <c r="K28" s="104" t="s">
        <v>127</v>
      </c>
      <c r="L28" s="104" t="s">
        <v>128</v>
      </c>
      <c r="M28" s="65"/>
      <c r="N28" s="71"/>
      <c r="O28" s="65"/>
      <c r="P28" s="63"/>
      <c r="R28" s="63"/>
      <c r="S28" s="55"/>
      <c r="T28" s="55"/>
      <c r="U28" s="55"/>
      <c r="V28" s="55"/>
    </row>
    <row r="29" spans="1:22" x14ac:dyDescent="0.2">
      <c r="A29" s="57"/>
      <c r="C29" s="150" t="s">
        <v>160</v>
      </c>
      <c r="D29" s="151"/>
      <c r="E29" s="105">
        <f>'Z_De Marinas_Scenario_Calc'!J38</f>
        <v>2.0503402290155886E-2</v>
      </c>
      <c r="F29" s="105">
        <f>'Z_De Marinas_Scenario_Calc'!K38</f>
        <v>4.2390341436677574E-3</v>
      </c>
      <c r="G29" s="105">
        <f>'Z_De Marinas_Scenario_Calc'!L38</f>
        <v>1.7566963181273021E-5</v>
      </c>
      <c r="H29" s="105">
        <f>'Z_De Marinas_Scenario_Calc'!M38</f>
        <v>1.6269504320989062E-6</v>
      </c>
      <c r="I29" s="105">
        <f>'Z_De Marinas_Scenario_Calc'!R38</f>
        <v>9.3622841507561116E-2</v>
      </c>
      <c r="J29" s="105">
        <f>'Z_De Marinas_Scenario_Calc'!S38</f>
        <v>9.3165585575115548E-2</v>
      </c>
      <c r="K29" s="105">
        <f>'Z_De Marinas_Scenario_Calc'!T38</f>
        <v>8.0214443750105117E-5</v>
      </c>
      <c r="L29" s="105">
        <f>'Z_De Marinas_Scenario_Calc'!U38</f>
        <v>3.5757152353822114E-5</v>
      </c>
      <c r="M29" s="63"/>
      <c r="N29" s="70"/>
      <c r="O29" s="63"/>
      <c r="P29" s="63"/>
      <c r="Q29" s="63"/>
      <c r="R29" s="63"/>
    </row>
    <row r="30" spans="1:22" x14ac:dyDescent="0.2">
      <c r="A30" s="57"/>
      <c r="C30" s="150" t="s">
        <v>159</v>
      </c>
      <c r="D30" s="151"/>
      <c r="E30" s="105">
        <f>'Z_De Marinas_Scenario_Calc'!J39</f>
        <v>2.4752121575352139E-2</v>
      </c>
      <c r="F30" s="105">
        <f>'Z_De Marinas_Scenario_Calc'!K39</f>
        <v>3.3149949510288275E-2</v>
      </c>
      <c r="G30" s="105">
        <f>'Z_De Marinas_Scenario_Calc'!L39</f>
        <v>3.7514524308877795E-5</v>
      </c>
      <c r="H30" s="105">
        <f>'Z_De Marinas_Scenario_Calc'!M39</f>
        <v>5.1866343505131323E-5</v>
      </c>
      <c r="I30" s="105">
        <f>'Z_De Marinas_Scenario_Calc'!R39</f>
        <v>0.11302338618882254</v>
      </c>
      <c r="J30" s="105">
        <f>'Z_De Marinas_Scenario_Calc'!S39</f>
        <v>0.72857031890743462</v>
      </c>
      <c r="K30" s="105">
        <f>'Z_De Marinas_Scenario_Calc'!T39</f>
        <v>1.7129919775743283E-4</v>
      </c>
      <c r="L30" s="105">
        <f>'Z_De Marinas_Scenario_Calc'!U39</f>
        <v>1.1399196374754133E-3</v>
      </c>
      <c r="M30" s="63"/>
      <c r="N30" s="70"/>
      <c r="O30" s="63"/>
      <c r="P30" s="63"/>
      <c r="Q30" s="63"/>
      <c r="R30" s="63"/>
    </row>
    <row r="31" spans="1:22" ht="12.75" customHeight="1" x14ac:dyDescent="0.2">
      <c r="A31" s="57"/>
      <c r="C31" s="150" t="s">
        <v>12</v>
      </c>
      <c r="D31" s="151"/>
      <c r="E31" s="105">
        <f>'Z_De Marinas_Scenario_Calc'!J40</f>
        <v>6.02324858938834E-2</v>
      </c>
      <c r="F31" s="105">
        <f>'Z_De Marinas_Scenario_Calc'!K40</f>
        <v>0.50207331719829529</v>
      </c>
      <c r="G31" s="105">
        <f>'Z_De Marinas_Scenario_Calc'!L40</f>
        <v>1.5457458311746915E-4</v>
      </c>
      <c r="H31" s="105">
        <f>'Z_De Marinas_Scenario_Calc'!M40</f>
        <v>7.910637020372346E-4</v>
      </c>
      <c r="I31" s="105">
        <f>'Z_De Marinas_Scenario_Calc'!R40</f>
        <v>0.27503418216385112</v>
      </c>
      <c r="J31" s="105">
        <f>'Z_De Marinas_Scenario_Calc'!S40</f>
        <v>11.034578399962534</v>
      </c>
      <c r="K31" s="105">
        <f>'Z_De Marinas_Scenario_Calc'!T40</f>
        <v>7.0582001423501889E-4</v>
      </c>
      <c r="L31" s="105">
        <f>'Z_De Marinas_Scenario_Calc'!U40</f>
        <v>1.7386015429389771E-2</v>
      </c>
      <c r="N31" s="57"/>
    </row>
    <row r="32" spans="1:22" ht="12.75" customHeight="1" x14ac:dyDescent="0.2">
      <c r="A32" s="57"/>
      <c r="C32" s="123" t="s">
        <v>13</v>
      </c>
      <c r="D32" s="124"/>
      <c r="E32" s="105">
        <f>'Z_De Marinas_Scenario_Calc'!J41</f>
        <v>1.168471434444087E-3</v>
      </c>
      <c r="F32" s="105">
        <f>'Z_De Marinas_Scenario_Calc'!K41</f>
        <v>3.622171819105863E-5</v>
      </c>
      <c r="G32" s="105">
        <f>'Z_De Marinas_Scenario_Calc'!L41</f>
        <v>9.5947858178694824E-7</v>
      </c>
      <c r="H32" s="105">
        <f>'Z_De Marinas_Scenario_Calc'!M41</f>
        <v>1.2101917759657199E-7</v>
      </c>
      <c r="I32" s="105">
        <f>'Z_De Marinas_Scenario_Calc'!R41</f>
        <v>5.3354860020277941E-3</v>
      </c>
      <c r="J32" s="105">
        <f>'Z_De Marinas_Scenario_Calc'!S41</f>
        <v>7.960817184848051E-4</v>
      </c>
      <c r="K32" s="105">
        <f>'Z_De Marinas_Scenario_Calc'!T41</f>
        <v>4.3811807387531884E-6</v>
      </c>
      <c r="L32" s="105">
        <f>'Z_De Marinas_Scenario_Calc'!U41</f>
        <v>2.659762144979604E-6</v>
      </c>
      <c r="N32" s="57"/>
    </row>
    <row r="33" spans="1:25" x14ac:dyDescent="0.2">
      <c r="A33" s="57"/>
      <c r="C33" s="63"/>
      <c r="D33" s="63"/>
      <c r="E33" s="63"/>
      <c r="F33" s="63"/>
      <c r="G33" s="63"/>
      <c r="H33" s="63"/>
      <c r="N33" s="57"/>
    </row>
    <row r="34" spans="1:25" x14ac:dyDescent="0.2">
      <c r="A34" s="57"/>
      <c r="B34" s="57"/>
      <c r="C34" s="58"/>
      <c r="D34" s="57"/>
      <c r="E34" s="57"/>
      <c r="F34" s="57"/>
      <c r="G34" s="57"/>
      <c r="H34" s="57"/>
      <c r="I34" s="57"/>
      <c r="J34" s="57"/>
      <c r="K34" s="57"/>
      <c r="L34" s="57"/>
      <c r="M34" s="57"/>
      <c r="N34" s="57"/>
      <c r="P34" s="64"/>
      <c r="Q34" s="64"/>
      <c r="R34" s="63"/>
      <c r="S34" s="63"/>
      <c r="T34" s="63"/>
      <c r="U34" s="63"/>
      <c r="V34" s="63"/>
      <c r="W34" s="63"/>
      <c r="X34" s="10"/>
      <c r="Y34" s="1"/>
    </row>
    <row r="35" spans="1:25" x14ac:dyDescent="0.2">
      <c r="A35" s="57"/>
      <c r="C35" s="53" t="s">
        <v>79</v>
      </c>
      <c r="N35" s="57"/>
    </row>
    <row r="36" spans="1:25" x14ac:dyDescent="0.2">
      <c r="A36" s="57"/>
      <c r="B36" s="74"/>
      <c r="N36" s="57"/>
    </row>
    <row r="37" spans="1:25" x14ac:dyDescent="0.2">
      <c r="A37" s="57"/>
      <c r="C37" s="72" t="s">
        <v>76</v>
      </c>
      <c r="D37" s="87"/>
      <c r="E37" s="87"/>
      <c r="F37" s="87"/>
      <c r="G37" s="87"/>
      <c r="N37" s="57"/>
    </row>
    <row r="38" spans="1:25" ht="105.95" customHeight="1" x14ac:dyDescent="0.2">
      <c r="A38" s="57"/>
      <c r="B38" s="74"/>
      <c r="C38" s="54" t="s">
        <v>8</v>
      </c>
      <c r="D38" s="130" t="s">
        <v>9</v>
      </c>
      <c r="E38" s="104" t="s">
        <v>131</v>
      </c>
      <c r="F38" s="104" t="s">
        <v>132</v>
      </c>
      <c r="G38" s="104" t="s">
        <v>133</v>
      </c>
      <c r="H38" s="104" t="s">
        <v>134</v>
      </c>
      <c r="N38" s="57"/>
    </row>
    <row r="39" spans="1:25" x14ac:dyDescent="0.2">
      <c r="A39" s="57"/>
      <c r="C39" s="107" t="s">
        <v>172</v>
      </c>
      <c r="D39" s="107" t="s">
        <v>11</v>
      </c>
      <c r="E39" s="105">
        <f>'Z_De Marinas_Scenario_Calc'!J21</f>
        <v>1.8833278977958244E-2</v>
      </c>
      <c r="F39" s="105">
        <f>'Z_De Marinas_Scenario_Calc'!K21</f>
        <v>5.5391996830826175E-4</v>
      </c>
      <c r="G39" s="105">
        <f>'Z_De Marinas_Scenario_Calc'!L21</f>
        <v>9.5540508517243769E-6</v>
      </c>
      <c r="H39" s="105">
        <f>'Z_De Marinas_Scenario_Calc'!M21</f>
        <v>2.8100149578833712E-7</v>
      </c>
      <c r="N39" s="57"/>
    </row>
    <row r="40" spans="1:25" x14ac:dyDescent="0.2">
      <c r="A40" s="57"/>
      <c r="C40" s="107" t="s">
        <v>173</v>
      </c>
      <c r="D40" s="107" t="s">
        <v>11</v>
      </c>
      <c r="E40" s="105">
        <f>'Z_De Marinas_Scenario_Calc'!J22</f>
        <v>2.0503402290155886E-2</v>
      </c>
      <c r="F40" s="105">
        <f>'Z_De Marinas_Scenario_Calc'!K22</f>
        <v>5.219047750622422E-3</v>
      </c>
      <c r="G40" s="105">
        <f>'Z_De Marinas_Scenario_Calc'!L22</f>
        <v>2.8034164580974987E-5</v>
      </c>
      <c r="H40" s="105">
        <f>'Z_De Marinas_Scenario_Calc'!M22</f>
        <v>7.1359690071544157E-6</v>
      </c>
      <c r="N40" s="57"/>
    </row>
    <row r="41" spans="1:25" x14ac:dyDescent="0.2">
      <c r="A41" s="57"/>
      <c r="C41" s="107" t="s">
        <v>174</v>
      </c>
      <c r="D41" s="107" t="s">
        <v>11</v>
      </c>
      <c r="E41" s="105">
        <f>'Z_De Marinas_Scenario_Calc'!J23</f>
        <v>1.8164889535511732E-2</v>
      </c>
      <c r="F41" s="105">
        <f>'Z_De Marinas_Scenario_Calc'!K23</f>
        <v>9.1487404394421552E-3</v>
      </c>
      <c r="G41" s="105">
        <f>'Z_De Marinas_Scenario_Calc'!L23</f>
        <v>3.2303217640349765E-6</v>
      </c>
      <c r="H41" s="105">
        <f>'Z_De Marinas_Scenario_Calc'!M23</f>
        <v>1.6269504320989062E-6</v>
      </c>
      <c r="N41" s="57"/>
    </row>
    <row r="42" spans="1:25" x14ac:dyDescent="0.2">
      <c r="A42" s="57"/>
      <c r="C42" s="107" t="s">
        <v>175</v>
      </c>
      <c r="D42" s="107" t="s">
        <v>11</v>
      </c>
      <c r="E42" s="105">
        <f>'Z_De Marinas_Scenario_Calc'!J24</f>
        <v>4.2390341436677574E-3</v>
      </c>
      <c r="F42" s="105">
        <f>'Z_De Marinas_Scenario_Calc'!K24</f>
        <v>4.2390341436677574E-3</v>
      </c>
      <c r="G42" s="105">
        <f>'Z_De Marinas_Scenario_Calc'!L24</f>
        <v>1.3086709698193406E-6</v>
      </c>
      <c r="H42" s="105">
        <f>'Z_De Marinas_Scenario_Calc'!M24</f>
        <v>1.3086709698193406E-6</v>
      </c>
      <c r="N42" s="57"/>
    </row>
    <row r="43" spans="1:25" x14ac:dyDescent="0.2">
      <c r="A43" s="57"/>
      <c r="C43" s="107" t="s">
        <v>176</v>
      </c>
      <c r="D43" s="107" t="s">
        <v>11</v>
      </c>
      <c r="E43" s="105">
        <f>'Z_De Marinas_Scenario_Calc'!J25</f>
        <v>1.168471434444087E-3</v>
      </c>
      <c r="F43" s="105">
        <f>'Z_De Marinas_Scenario_Calc'!K25</f>
        <v>1.1176683849439695E-3</v>
      </c>
      <c r="G43" s="105">
        <f>'Z_De Marinas_Scenario_Calc'!L25</f>
        <v>9.5947858178694824E-7</v>
      </c>
      <c r="H43" s="105">
        <f>'Z_De Marinas_Scenario_Calc'!M25</f>
        <v>9.1776219280792087E-7</v>
      </c>
      <c r="N43" s="57"/>
    </row>
    <row r="44" spans="1:25" x14ac:dyDescent="0.2">
      <c r="A44" s="57"/>
      <c r="C44" s="107" t="s">
        <v>177</v>
      </c>
      <c r="D44" s="107" t="s">
        <v>11</v>
      </c>
      <c r="E44" s="105">
        <f>'Z_De Marinas_Scenario_Calc'!J26</f>
        <v>3.5556877996027036E-3</v>
      </c>
      <c r="F44" s="105">
        <f>'Z_De Marinas_Scenario_Calc'!K26</f>
        <v>7.4554741775737518E-4</v>
      </c>
      <c r="G44" s="105">
        <f>'Z_De Marinas_Scenario_Calc'!L26</f>
        <v>5.9270439617348154E-6</v>
      </c>
      <c r="H44" s="105">
        <f>'Z_De Marinas_Scenario_Calc'!M26</f>
        <v>1.2427672428102575E-6</v>
      </c>
      <c r="N44" s="57"/>
    </row>
    <row r="45" spans="1:25" x14ac:dyDescent="0.2">
      <c r="A45" s="57"/>
      <c r="C45" s="107" t="s">
        <v>178</v>
      </c>
      <c r="D45" s="107" t="s">
        <v>11</v>
      </c>
      <c r="E45" s="105">
        <f>'Z_De Marinas_Scenario_Calc'!J27</f>
        <v>2.6368629831031984E-2</v>
      </c>
      <c r="F45" s="105">
        <f>'Z_De Marinas_Scenario_Calc'!K27</f>
        <v>5.0708905760489303E-4</v>
      </c>
      <c r="G45" s="105">
        <f>'Z_De Marinas_Scenario_Calc'!L27</f>
        <v>7.9713329210384079E-5</v>
      </c>
      <c r="H45" s="105">
        <f>'Z_De Marinas_Scenario_Calc'!M27</f>
        <v>1.5329486899968878E-6</v>
      </c>
      <c r="N45" s="57"/>
    </row>
    <row r="46" spans="1:25" x14ac:dyDescent="0.2">
      <c r="A46" s="57"/>
      <c r="C46" s="107" t="s">
        <v>180</v>
      </c>
      <c r="D46" s="107" t="s">
        <v>11</v>
      </c>
      <c r="E46" s="105">
        <f>'Z_De Marinas_Scenario_Calc'!J28</f>
        <v>3.5862379817819957E-2</v>
      </c>
      <c r="F46" s="105">
        <f>'Z_De Marinas_Scenario_Calc'!K28</f>
        <v>0.50207331719829529</v>
      </c>
      <c r="G46" s="105">
        <f>'Z_De Marinas_Scenario_Calc'!L28</f>
        <v>5.6504550329276534E-5</v>
      </c>
      <c r="H46" s="105">
        <f>'Z_De Marinas_Scenario_Calc'!M28</f>
        <v>7.910637020372346E-4</v>
      </c>
      <c r="N46" s="57"/>
    </row>
    <row r="47" spans="1:25" x14ac:dyDescent="0.2">
      <c r="A47" s="57"/>
      <c r="C47" s="107" t="s">
        <v>182</v>
      </c>
      <c r="D47" s="107" t="s">
        <v>11</v>
      </c>
      <c r="E47" s="105">
        <f>'Z_De Marinas_Scenario_Calc'!J29</f>
        <v>5.5182000665738732E-3</v>
      </c>
      <c r="F47" s="105">
        <f>'Z_De Marinas_Scenario_Calc'!K29</f>
        <v>8.7129479337385717E-4</v>
      </c>
      <c r="G47" s="105">
        <f>'Z_De Marinas_Scenario_Calc'!L29</f>
        <v>1.4996679466185576E-5</v>
      </c>
      <c r="H47" s="105">
        <f>'Z_De Marinas_Scenario_Calc'!M29</f>
        <v>2.3678968943587657E-6</v>
      </c>
      <c r="N47" s="57"/>
    </row>
    <row r="48" spans="1:25" x14ac:dyDescent="0.2">
      <c r="A48" s="57"/>
      <c r="C48" s="107" t="s">
        <v>183</v>
      </c>
      <c r="D48" s="107" t="s">
        <v>11</v>
      </c>
      <c r="E48" s="105">
        <f>'Z_De Marinas_Scenario_Calc'!J30</f>
        <v>1.5213120143545103E-3</v>
      </c>
      <c r="F48" s="105">
        <f>'Z_De Marinas_Scenario_Calc'!K30</f>
        <v>3.622171819105863E-5</v>
      </c>
      <c r="G48" s="105">
        <f>'Z_De Marinas_Scenario_Calc'!L30</f>
        <v>5.3024983344442778E-6</v>
      </c>
      <c r="H48" s="105">
        <f>'Z_De Marinas_Scenario_Calc'!M30</f>
        <v>1.2624997293156322E-7</v>
      </c>
      <c r="N48" s="57"/>
    </row>
    <row r="49" spans="1:14" x14ac:dyDescent="0.2">
      <c r="A49" s="57"/>
      <c r="C49" s="107" t="s">
        <v>184</v>
      </c>
      <c r="D49" s="107" t="s">
        <v>11</v>
      </c>
      <c r="E49" s="105">
        <f>'Z_De Marinas_Scenario_Calc'!J31</f>
        <v>3.3141686486250078E-2</v>
      </c>
      <c r="F49" s="105">
        <f>'Z_De Marinas_Scenario_Calc'!K31</f>
        <v>7.0107419690100675E-3</v>
      </c>
      <c r="G49" s="105">
        <f>'Z_De Marinas_Scenario_Calc'!L31</f>
        <v>3.0688346561795505E-5</v>
      </c>
      <c r="H49" s="105">
        <f>'Z_De Marinas_Scenario_Calc'!M31</f>
        <v>6.4917661500969587E-6</v>
      </c>
      <c r="N49" s="57"/>
    </row>
    <row r="50" spans="1:14" x14ac:dyDescent="0.2">
      <c r="A50" s="57"/>
      <c r="C50" s="107" t="s">
        <v>185</v>
      </c>
      <c r="D50" s="107" t="s">
        <v>11</v>
      </c>
      <c r="E50" s="105">
        <f>'Z_De Marinas_Scenario_Calc'!J32</f>
        <v>5.7186605630849013E-2</v>
      </c>
      <c r="F50" s="105">
        <f>'Z_De Marinas_Scenario_Calc'!K32</f>
        <v>5.1987824823892369E-3</v>
      </c>
      <c r="G50" s="105">
        <f>'Z_De Marinas_Scenario_Calc'!L32</f>
        <v>1.2562580673154735E-4</v>
      </c>
      <c r="H50" s="105">
        <f>'Z_De Marinas_Scenario_Calc'!M32</f>
        <v>1.1420528177460924E-5</v>
      </c>
      <c r="N50" s="57"/>
    </row>
    <row r="51" spans="1:14" x14ac:dyDescent="0.2">
      <c r="A51" s="57"/>
      <c r="C51" s="107" t="s">
        <v>186</v>
      </c>
      <c r="D51" s="107" t="s">
        <v>11</v>
      </c>
      <c r="E51" s="105">
        <f>'Z_De Marinas_Scenario_Calc'!J33</f>
        <v>4.4732846783698543E-2</v>
      </c>
      <c r="F51" s="105">
        <f>'Z_De Marinas_Scenario_Calc'!K33</f>
        <v>1.3979014694787789E-2</v>
      </c>
      <c r="G51" s="105">
        <f>'Z_De Marinas_Scenario_Calc'!L33</f>
        <v>7.2813128618689994E-5</v>
      </c>
      <c r="H51" s="105">
        <f>'Z_De Marinas_Scenario_Calc'!M33</f>
        <v>2.275410270413656E-5</v>
      </c>
      <c r="N51" s="57"/>
    </row>
    <row r="52" spans="1:14" x14ac:dyDescent="0.2">
      <c r="A52" s="57"/>
      <c r="C52" s="107" t="s">
        <v>187</v>
      </c>
      <c r="D52" s="107" t="s">
        <v>11</v>
      </c>
      <c r="E52" s="105">
        <f>'Z_De Marinas_Scenario_Calc'!J34</f>
        <v>1.2254175429381063E-2</v>
      </c>
      <c r="F52" s="105">
        <f>'Z_De Marinas_Scenario_Calc'!K34</f>
        <v>1.3615750815109361E-4</v>
      </c>
      <c r="G52" s="105">
        <f>'Z_De Marinas_Scenario_Calc'!L34</f>
        <v>1.0891725720899768E-5</v>
      </c>
      <c r="H52" s="105">
        <f>'Z_De Marinas_Scenario_Calc'!M34</f>
        <v>1.2101917759657199E-7</v>
      </c>
      <c r="N52" s="57"/>
    </row>
    <row r="53" spans="1:14" x14ac:dyDescent="0.2">
      <c r="A53" s="57"/>
      <c r="C53" s="107" t="s">
        <v>188</v>
      </c>
      <c r="D53" s="107" t="s">
        <v>11</v>
      </c>
      <c r="E53" s="105">
        <f>'Z_De Marinas_Scenario_Calc'!J35</f>
        <v>6.02324858938834E-2</v>
      </c>
      <c r="F53" s="105">
        <f>'Z_De Marinas_Scenario_Calc'!K35</f>
        <v>1.6865095561764622E-3</v>
      </c>
      <c r="G53" s="105">
        <f>'Z_De Marinas_Scenario_Calc'!L35</f>
        <v>2.0055571268881826E-5</v>
      </c>
      <c r="H53" s="105">
        <f>'Z_De Marinas_Scenario_Calc'!M35</f>
        <v>5.6155597485871291E-7</v>
      </c>
      <c r="N53" s="57"/>
    </row>
    <row r="54" spans="1:14" x14ac:dyDescent="0.2">
      <c r="A54" s="57"/>
      <c r="C54" s="107" t="s">
        <v>191</v>
      </c>
      <c r="D54" s="107" t="s">
        <v>11</v>
      </c>
      <c r="E54" s="105">
        <f>'Z_De Marinas_Scenario_Calc'!J36</f>
        <v>4.7542001402879154E-2</v>
      </c>
      <c r="F54" s="105">
        <f>'Z_De Marinas_Scenario_Calc'!K36</f>
        <v>5.0338586538109442E-3</v>
      </c>
      <c r="G54" s="105">
        <f>'Z_De Marinas_Scenario_Calc'!L36</f>
        <v>1.7566963181273021E-5</v>
      </c>
      <c r="H54" s="105">
        <f>'Z_De Marinas_Scenario_Calc'!M36</f>
        <v>1.8600313012600788E-6</v>
      </c>
      <c r="N54" s="57"/>
    </row>
    <row r="55" spans="1:14" x14ac:dyDescent="0.2">
      <c r="A55" s="57"/>
      <c r="C55" s="107" t="s">
        <v>192</v>
      </c>
      <c r="D55" s="107" t="s">
        <v>11</v>
      </c>
      <c r="E55" s="105">
        <f>'Z_De Marinas_Scenario_Calc'!J37</f>
        <v>2.9960979242924353E-2</v>
      </c>
      <c r="F55" s="105">
        <f>'Z_De Marinas_Scenario_Calc'!K37</f>
        <v>5.9921959383680175E-3</v>
      </c>
      <c r="G55" s="105">
        <f>'Z_De Marinas_Scenario_Calc'!L37</f>
        <v>1.5457458311746915E-4</v>
      </c>
      <c r="H55" s="105">
        <f>'Z_De Marinas_Scenario_Calc'!M37</f>
        <v>3.0914917166821544E-5</v>
      </c>
      <c r="N55" s="57"/>
    </row>
    <row r="56" spans="1:14" x14ac:dyDescent="0.2">
      <c r="A56" s="57"/>
      <c r="C56" s="83"/>
      <c r="D56" s="83"/>
      <c r="E56" s="84"/>
      <c r="F56" s="84"/>
      <c r="G56" s="84"/>
      <c r="H56" s="84"/>
      <c r="N56" s="57"/>
    </row>
    <row r="57" spans="1:14" x14ac:dyDescent="0.2">
      <c r="A57" s="57"/>
      <c r="B57" s="74"/>
      <c r="C57" s="52" t="s">
        <v>77</v>
      </c>
      <c r="N57" s="57"/>
    </row>
    <row r="58" spans="1:14" x14ac:dyDescent="0.2">
      <c r="A58" s="57"/>
      <c r="C58" s="74" t="s">
        <v>83</v>
      </c>
      <c r="N58" s="57"/>
    </row>
    <row r="59" spans="1:14" ht="120" customHeight="1" x14ac:dyDescent="0.2">
      <c r="A59" s="57"/>
      <c r="C59" s="54" t="s">
        <v>8</v>
      </c>
      <c r="D59" s="130" t="s">
        <v>9</v>
      </c>
      <c r="E59" s="104" t="s">
        <v>58</v>
      </c>
      <c r="F59" s="104" t="s">
        <v>59</v>
      </c>
      <c r="G59" s="104" t="s">
        <v>60</v>
      </c>
      <c r="H59" s="104" t="s">
        <v>61</v>
      </c>
      <c r="N59" s="57"/>
    </row>
    <row r="60" spans="1:14" x14ac:dyDescent="0.2">
      <c r="A60" s="57"/>
      <c r="C60" s="107" t="s">
        <v>172</v>
      </c>
      <c r="D60" s="107" t="s">
        <v>11</v>
      </c>
      <c r="E60" s="105">
        <f>'Z_De Marinas_Scenario_Calc'!R21</f>
        <v>8.5996707661909796E-2</v>
      </c>
      <c r="F60" s="105">
        <f>'Z_De Marinas_Scenario_Calc'!S21</f>
        <v>1.2174065237544215E-2</v>
      </c>
      <c r="G60" s="105">
        <f>'Z_De Marinas_Scenario_Calc'!T21</f>
        <v>4.3625802975910396E-5</v>
      </c>
      <c r="H60" s="105">
        <f>'Z_De Marinas_Scenario_Calc'!U21</f>
        <v>6.1758570502931237E-6</v>
      </c>
      <c r="N60" s="57"/>
    </row>
    <row r="61" spans="1:14" x14ac:dyDescent="0.2">
      <c r="A61" s="57"/>
      <c r="C61" s="107" t="s">
        <v>173</v>
      </c>
      <c r="D61" s="107" t="s">
        <v>11</v>
      </c>
      <c r="E61" s="105">
        <f>'Z_De Marinas_Scenario_Calc'!R22</f>
        <v>9.3622841507561116E-2</v>
      </c>
      <c r="F61" s="105">
        <f>'Z_De Marinas_Scenario_Calc'!S22</f>
        <v>0.11470434616752576</v>
      </c>
      <c r="G61" s="105">
        <f>'Z_De Marinas_Scenario_Calc'!T22</f>
        <v>1.2800988393139263E-4</v>
      </c>
      <c r="H61" s="105">
        <f>'Z_De Marinas_Scenario_Calc'!U22</f>
        <v>1.5683448367372342E-4</v>
      </c>
      <c r="N61" s="57"/>
    </row>
    <row r="62" spans="1:14" x14ac:dyDescent="0.2">
      <c r="A62" s="57"/>
      <c r="C62" s="107" t="s">
        <v>174</v>
      </c>
      <c r="D62" s="107" t="s">
        <v>11</v>
      </c>
      <c r="E62" s="105">
        <f>'Z_De Marinas_Scenario_Calc'!R23</f>
        <v>8.2944701075396032E-2</v>
      </c>
      <c r="F62" s="105">
        <f>'Z_De Marinas_Scenario_Calc'!S23</f>
        <v>0.20107121844927814</v>
      </c>
      <c r="G62" s="105">
        <f>'Z_De Marinas_Scenario_Calc'!T23</f>
        <v>1.4750327689657426E-5</v>
      </c>
      <c r="H62" s="105">
        <f>'Z_De Marinas_Scenario_Calc'!U23</f>
        <v>3.5757152353822114E-5</v>
      </c>
      <c r="N62" s="57"/>
    </row>
    <row r="63" spans="1:14" x14ac:dyDescent="0.2">
      <c r="A63" s="57"/>
      <c r="C63" s="107" t="s">
        <v>175</v>
      </c>
      <c r="D63" s="107" t="s">
        <v>11</v>
      </c>
      <c r="E63" s="105">
        <f>'Z_De Marinas_Scenario_Calc'!R24</f>
        <v>1.9356320290720354E-2</v>
      </c>
      <c r="F63" s="105">
        <f>'Z_De Marinas_Scenario_Calc'!S24</f>
        <v>9.3165585575115548E-2</v>
      </c>
      <c r="G63" s="105">
        <f>'Z_De Marinas_Scenario_Calc'!T24</f>
        <v>5.9756665288554363E-6</v>
      </c>
      <c r="H63" s="105">
        <f>'Z_De Marinas_Scenario_Calc'!U24</f>
        <v>2.8761999336688804E-5</v>
      </c>
      <c r="N63" s="57"/>
    </row>
    <row r="64" spans="1:14" x14ac:dyDescent="0.2">
      <c r="A64" s="57"/>
      <c r="C64" s="107" t="s">
        <v>176</v>
      </c>
      <c r="D64" s="107" t="s">
        <v>11</v>
      </c>
      <c r="E64" s="105">
        <f>'Z_De Marinas_Scenario_Calc'!R25</f>
        <v>5.3354860020277941E-3</v>
      </c>
      <c r="F64" s="105">
        <f>'Z_De Marinas_Scenario_Calc'!S25</f>
        <v>2.4564140328438892E-2</v>
      </c>
      <c r="G64" s="105">
        <f>'Z_De Marinas_Scenario_Calc'!T25</f>
        <v>4.3811807387531884E-6</v>
      </c>
      <c r="H64" s="105">
        <f>'Z_De Marinas_Scenario_Calc'!U25</f>
        <v>2.017059764413013E-5</v>
      </c>
      <c r="N64" s="57"/>
    </row>
    <row r="65" spans="1:14" x14ac:dyDescent="0.2">
      <c r="A65" s="57"/>
      <c r="C65" s="107" t="s">
        <v>177</v>
      </c>
      <c r="D65" s="107" t="s">
        <v>11</v>
      </c>
      <c r="E65" s="105">
        <f>'Z_De Marinas_Scenario_Calc'!R26</f>
        <v>1.6236017349784033E-2</v>
      </c>
      <c r="F65" s="105">
        <f>'Z_De Marinas_Scenario_Calc'!S26</f>
        <v>1.6385657533129126E-2</v>
      </c>
      <c r="G65" s="105">
        <f>'Z_De Marinas_Scenario_Calc'!T26</f>
        <v>2.7064127679154406E-5</v>
      </c>
      <c r="H65" s="105">
        <f>'Z_De Marinas_Scenario_Calc'!U26</f>
        <v>2.7313565776049614E-5</v>
      </c>
      <c r="N65" s="57"/>
    </row>
    <row r="66" spans="1:14" x14ac:dyDescent="0.2">
      <c r="A66" s="57"/>
      <c r="C66" s="107" t="s">
        <v>178</v>
      </c>
      <c r="D66" s="107" t="s">
        <v>11</v>
      </c>
      <c r="E66" s="105">
        <f>'Z_De Marinas_Scenario_Calc'!R27</f>
        <v>0.12040470242480358</v>
      </c>
      <c r="F66" s="105">
        <f>'Z_De Marinas_Scenario_Calc'!S27</f>
        <v>1.1144814452854793E-2</v>
      </c>
      <c r="G66" s="105">
        <f>'Z_De Marinas_Scenario_Calc'!T27</f>
        <v>3.6398780461362591E-4</v>
      </c>
      <c r="H66" s="105">
        <f>'Z_De Marinas_Scenario_Calc'!U27</f>
        <v>3.3691179999931599E-5</v>
      </c>
      <c r="N66" s="57"/>
    </row>
    <row r="67" spans="1:14" x14ac:dyDescent="0.2">
      <c r="A67" s="57"/>
      <c r="C67" s="107" t="s">
        <v>180</v>
      </c>
      <c r="D67" s="107" t="s">
        <v>11</v>
      </c>
      <c r="E67" s="105">
        <f>'Z_De Marinas_Scenario_Calc'!R28</f>
        <v>0.16375515898547927</v>
      </c>
      <c r="F67" s="105">
        <f>'Z_De Marinas_Scenario_Calc'!S28</f>
        <v>11.034578399962534</v>
      </c>
      <c r="G67" s="105">
        <f>'Z_De Marinas_Scenario_Calc'!T28</f>
        <v>2.5801164533916226E-4</v>
      </c>
      <c r="H67" s="105">
        <f>'Z_De Marinas_Scenario_Calc'!U28</f>
        <v>1.7386015429389771E-2</v>
      </c>
      <c r="N67" s="57"/>
    </row>
    <row r="68" spans="1:14" x14ac:dyDescent="0.2">
      <c r="A68" s="57"/>
      <c r="C68" s="107" t="s">
        <v>182</v>
      </c>
      <c r="D68" s="107" t="s">
        <v>11</v>
      </c>
      <c r="E68" s="105">
        <f>'Z_De Marinas_Scenario_Calc'!R29</f>
        <v>2.5197260577962892E-2</v>
      </c>
      <c r="F68" s="105">
        <f>'Z_De Marinas_Scenario_Calc'!S29</f>
        <v>1.9149336118106753E-2</v>
      </c>
      <c r="G68" s="105">
        <f>'Z_De Marinas_Scenario_Calc'!T29</f>
        <v>6.8477988430071124E-5</v>
      </c>
      <c r="H68" s="105">
        <f>'Z_De Marinas_Scenario_Calc'!U29</f>
        <v>5.2041689985906937E-5</v>
      </c>
      <c r="N68" s="57"/>
    </row>
    <row r="69" spans="1:14" x14ac:dyDescent="0.2">
      <c r="A69" s="57"/>
      <c r="C69" s="107" t="s">
        <v>183</v>
      </c>
      <c r="D69" s="107" t="s">
        <v>11</v>
      </c>
      <c r="E69" s="105">
        <f>'Z_De Marinas_Scenario_Calc'!R30</f>
        <v>6.9466302025320108E-3</v>
      </c>
      <c r="F69" s="105">
        <f>'Z_De Marinas_Scenario_Calc'!S30</f>
        <v>7.960817184848051E-4</v>
      </c>
      <c r="G69" s="105">
        <f>'Z_De Marinas_Scenario_Calc'!T30</f>
        <v>2.4212321161846017E-5</v>
      </c>
      <c r="H69" s="105">
        <f>'Z_De Marinas_Scenario_Calc'!U30</f>
        <v>2.7747246798145765E-6</v>
      </c>
      <c r="N69" s="57"/>
    </row>
    <row r="70" spans="1:14" x14ac:dyDescent="0.2">
      <c r="A70" s="57"/>
      <c r="C70" s="107" t="s">
        <v>184</v>
      </c>
      <c r="D70" s="107" t="s">
        <v>11</v>
      </c>
      <c r="E70" s="105">
        <f>'Z_De Marinas_Scenario_Calc'!R31</f>
        <v>0.15133190176369898</v>
      </c>
      <c r="F70" s="105">
        <f>'Z_De Marinas_Scenario_Calc'!S31</f>
        <v>0.15408224107714436</v>
      </c>
      <c r="G70" s="105">
        <f>'Z_De Marinas_Scenario_Calc'!T31</f>
        <v>1.4012943635523061E-4</v>
      </c>
      <c r="H70" s="105">
        <f>'Z_De Marinas_Scenario_Calc'!U31</f>
        <v>1.4267617912301007E-4</v>
      </c>
      <c r="N70" s="57"/>
    </row>
    <row r="71" spans="1:14" x14ac:dyDescent="0.2">
      <c r="A71" s="57"/>
      <c r="C71" s="107" t="s">
        <v>185</v>
      </c>
      <c r="D71" s="107" t="s">
        <v>11</v>
      </c>
      <c r="E71" s="105">
        <f>'Z_De Marinas_Scenario_Calc'!R32</f>
        <v>0.26112605310889958</v>
      </c>
      <c r="F71" s="105">
        <f>'Z_De Marinas_Scenario_Calc'!S32</f>
        <v>0.11425895565690632</v>
      </c>
      <c r="G71" s="105">
        <f>'Z_De Marinas_Scenario_Calc'!T32</f>
        <v>5.7363382069199704E-4</v>
      </c>
      <c r="H71" s="105">
        <f>'Z_De Marinas_Scenario_Calc'!U32</f>
        <v>2.5100061928485547E-4</v>
      </c>
      <c r="N71" s="57"/>
    </row>
    <row r="72" spans="1:14" x14ac:dyDescent="0.2">
      <c r="A72" s="57"/>
      <c r="C72" s="107" t="s">
        <v>186</v>
      </c>
      <c r="D72" s="107" t="s">
        <v>11</v>
      </c>
      <c r="E72" s="105">
        <f>'Z_De Marinas_Scenario_Calc'!R33</f>
        <v>0.20425957435478787</v>
      </c>
      <c r="F72" s="105">
        <f>'Z_De Marinas_Scenario_Calc'!S33</f>
        <v>0.30723109219313821</v>
      </c>
      <c r="G72" s="105">
        <f>'Z_De Marinas_Scenario_Calc'!T33</f>
        <v>3.3248003935474886E-4</v>
      </c>
      <c r="H72" s="105">
        <f>'Z_De Marinas_Scenario_Calc'!U33</f>
        <v>5.0009016932168267E-4</v>
      </c>
      <c r="N72" s="57"/>
    </row>
    <row r="73" spans="1:14" x14ac:dyDescent="0.2">
      <c r="A73" s="57"/>
      <c r="C73" s="107" t="s">
        <v>187</v>
      </c>
      <c r="D73" s="107" t="s">
        <v>11</v>
      </c>
      <c r="E73" s="105">
        <f>'Z_De Marinas_Scenario_Calc'!R34</f>
        <v>5.5955138946945489E-2</v>
      </c>
      <c r="F73" s="105">
        <f>'Z_De Marinas_Scenario_Calc'!S34</f>
        <v>2.992472706617442E-3</v>
      </c>
      <c r="G73" s="105">
        <f>'Z_De Marinas_Scenario_Calc'!T34</f>
        <v>4.9733907401368806E-5</v>
      </c>
      <c r="H73" s="105">
        <f>'Z_De Marinas_Scenario_Calc'!U34</f>
        <v>2.659762144979604E-6</v>
      </c>
      <c r="N73" s="57"/>
    </row>
    <row r="74" spans="1:14" x14ac:dyDescent="0.2">
      <c r="A74" s="57"/>
      <c r="C74" s="107" t="s">
        <v>188</v>
      </c>
      <c r="D74" s="107" t="s">
        <v>11</v>
      </c>
      <c r="E74" s="105">
        <f>'Z_De Marinas_Scenario_Calc'!R35</f>
        <v>0.27503418216385112</v>
      </c>
      <c r="F74" s="105">
        <f>'Z_De Marinas_Scenario_Calc'!S35</f>
        <v>3.7066144091790376E-2</v>
      </c>
      <c r="G74" s="105">
        <f>'Z_De Marinas_Scenario_Calc'!T35</f>
        <v>9.1577950999460395E-5</v>
      </c>
      <c r="H74" s="105">
        <f>'Z_De Marinas_Scenario_Calc'!U35</f>
        <v>1.234188955733435E-5</v>
      </c>
      <c r="N74" s="57"/>
    </row>
    <row r="75" spans="1:14" x14ac:dyDescent="0.2">
      <c r="A75" s="57"/>
      <c r="C75" s="107" t="s">
        <v>191</v>
      </c>
      <c r="D75" s="107" t="s">
        <v>11</v>
      </c>
      <c r="E75" s="105">
        <f>'Z_De Marinas_Scenario_Calc'!R36</f>
        <v>0.21708676439670846</v>
      </c>
      <c r="F75" s="105">
        <f>'Z_De Marinas_Scenario_Calc'!S36</f>
        <v>0.11063425612771306</v>
      </c>
      <c r="G75" s="105">
        <f>'Z_De Marinas_Scenario_Calc'!T36</f>
        <v>8.0214443750105117E-5</v>
      </c>
      <c r="H75" s="105">
        <f>'Z_De Marinas_Scenario_Calc'!U36</f>
        <v>4.087980881890283E-5</v>
      </c>
      <c r="N75" s="57"/>
    </row>
    <row r="76" spans="1:14" x14ac:dyDescent="0.2">
      <c r="A76" s="57"/>
      <c r="C76" s="107" t="s">
        <v>192</v>
      </c>
      <c r="D76" s="107" t="s">
        <v>11</v>
      </c>
      <c r="E76" s="105">
        <f>'Z_De Marinas_Scenario_Calc'!R37</f>
        <v>0.13680812439691487</v>
      </c>
      <c r="F76" s="105">
        <f>'Z_De Marinas_Scenario_Calc'!S37</f>
        <v>0.13169661403006633</v>
      </c>
      <c r="G76" s="105">
        <f>'Z_De Marinas_Scenario_Calc'!T37</f>
        <v>7.0582001423501889E-4</v>
      </c>
      <c r="H76" s="105">
        <f>'Z_De Marinas_Scenario_Calc'!U37</f>
        <v>6.7944872894113285E-4</v>
      </c>
      <c r="N76" s="57"/>
    </row>
    <row r="77" spans="1:14" x14ac:dyDescent="0.2">
      <c r="A77" s="57"/>
      <c r="B77" s="74"/>
      <c r="N77" s="57"/>
    </row>
    <row r="78" spans="1:14" x14ac:dyDescent="0.2">
      <c r="A78" s="57"/>
      <c r="B78" s="57"/>
      <c r="C78" s="57"/>
      <c r="D78" s="57"/>
      <c r="E78" s="57"/>
      <c r="F78" s="57"/>
      <c r="G78" s="57"/>
      <c r="H78" s="57"/>
      <c r="I78" s="57"/>
      <c r="J78" s="57"/>
      <c r="K78" s="57"/>
      <c r="L78" s="57"/>
      <c r="M78" s="57"/>
      <c r="N78" s="57"/>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2">
    <mergeCell ref="C18:E18"/>
    <mergeCell ref="C9:F9"/>
    <mergeCell ref="C11:F11"/>
    <mergeCell ref="C15:F15"/>
    <mergeCell ref="C16:E16"/>
    <mergeCell ref="C17:E17"/>
    <mergeCell ref="C19:E19"/>
    <mergeCell ref="C21:F21"/>
    <mergeCell ref="C28:D28"/>
    <mergeCell ref="C30:D30"/>
    <mergeCell ref="C31:D31"/>
    <mergeCell ref="C29:D29"/>
  </mergeCells>
  <conditionalFormatting sqref="E60:H76">
    <cfRule type="cellIs" dxfId="21" priority="2" operator="greaterThan">
      <formula>1</formula>
    </cfRule>
  </conditionalFormatting>
  <conditionalFormatting sqref="I29:L32">
    <cfRule type="cellIs" dxfId="20" priority="1" operator="greaterThan">
      <formula>1</formula>
    </cfRule>
  </conditionalFormatting>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4.9989318521683403E-2"/>
  </sheetPr>
  <dimension ref="A1:Z397"/>
  <sheetViews>
    <sheetView topLeftCell="A40" zoomScale="85" zoomScaleNormal="85" workbookViewId="0">
      <selection activeCell="C38" sqref="C38"/>
    </sheetView>
  </sheetViews>
  <sheetFormatPr baseColWidth="10" defaultColWidth="0" defaultRowHeight="12.75" zeroHeight="1" x14ac:dyDescent="0.2"/>
  <cols>
    <col min="1" max="2" width="3.125" style="1" customWidth="1"/>
    <col min="3" max="3" width="23.75" style="74" customWidth="1"/>
    <col min="4" max="4" width="3.625" style="74" customWidth="1"/>
    <col min="5" max="9" width="16.625" style="74" customWidth="1"/>
    <col min="10" max="10" width="16.625" style="1" customWidth="1"/>
    <col min="11" max="12" width="16.625" style="74" customWidth="1"/>
    <col min="13" max="13" width="3.125" style="74" customWidth="1"/>
    <col min="14" max="14" width="3" style="74" customWidth="1"/>
    <col min="15" max="15" width="12.75" style="74" hidden="1" customWidth="1"/>
    <col min="16" max="16" width="12.25" style="74" hidden="1" customWidth="1"/>
    <col min="17" max="17" width="12.5" style="74" hidden="1" customWidth="1"/>
    <col min="18" max="18" width="12.25" style="74" hidden="1" customWidth="1"/>
    <col min="19" max="26" width="0" style="74" hidden="1" customWidth="1"/>
    <col min="27" max="16384" width="9" style="74" hidden="1"/>
  </cols>
  <sheetData>
    <row r="1" spans="1:14" x14ac:dyDescent="0.2">
      <c r="A1" s="57"/>
      <c r="B1" s="57"/>
      <c r="C1" s="57"/>
      <c r="D1" s="57"/>
      <c r="E1" s="57"/>
      <c r="F1" s="57"/>
      <c r="G1" s="57"/>
      <c r="H1" s="57"/>
      <c r="I1" s="57"/>
      <c r="J1" s="57"/>
      <c r="K1" s="57"/>
      <c r="L1" s="57"/>
      <c r="M1" s="57"/>
      <c r="N1" s="57"/>
    </row>
    <row r="2" spans="1:14" x14ac:dyDescent="0.2">
      <c r="A2" s="57"/>
      <c r="K2" s="1"/>
      <c r="N2" s="57"/>
    </row>
    <row r="3" spans="1:14" x14ac:dyDescent="0.2">
      <c r="A3" s="57"/>
      <c r="C3" s="51" t="s">
        <v>73</v>
      </c>
      <c r="D3" s="51"/>
      <c r="E3" s="51"/>
      <c r="F3" s="51"/>
      <c r="G3" s="51"/>
      <c r="H3" s="51"/>
      <c r="I3" s="51"/>
      <c r="J3" s="59"/>
      <c r="K3" s="59"/>
      <c r="L3" s="73">
        <f ca="1">TODAY()</f>
        <v>44001</v>
      </c>
      <c r="N3" s="57"/>
    </row>
    <row r="4" spans="1:14" x14ac:dyDescent="0.2">
      <c r="A4" s="57"/>
      <c r="C4" s="113" t="str">
        <f>Tooltype</f>
        <v>Calculator tool for the German scenario for inland water marinas</v>
      </c>
      <c r="D4" s="113"/>
      <c r="E4" s="113"/>
      <c r="K4" s="1"/>
      <c r="N4" s="57"/>
    </row>
    <row r="5" spans="1:14" x14ac:dyDescent="0.2">
      <c r="A5" s="57"/>
      <c r="K5" s="1"/>
      <c r="N5" s="57"/>
    </row>
    <row r="6" spans="1:14" x14ac:dyDescent="0.2">
      <c r="A6" s="57"/>
      <c r="C6" s="52" t="s">
        <v>146</v>
      </c>
      <c r="D6" s="74" t="str">
        <f>D_Compound_Name</f>
        <v>DIDT</v>
      </c>
      <c r="K6" s="1"/>
      <c r="N6" s="57"/>
    </row>
    <row r="7" spans="1:14" x14ac:dyDescent="0.2">
      <c r="A7" s="57"/>
      <c r="C7" s="52" t="s">
        <v>75</v>
      </c>
      <c r="D7" s="74" t="str">
        <f>Version</f>
        <v>Version Final 1.0</v>
      </c>
      <c r="K7" s="1"/>
      <c r="N7" s="57"/>
    </row>
    <row r="8" spans="1:14" x14ac:dyDescent="0.2">
      <c r="A8" s="57"/>
      <c r="K8" s="1"/>
      <c r="N8" s="57"/>
    </row>
    <row r="9" spans="1:14" x14ac:dyDescent="0.2">
      <c r="A9" s="57"/>
      <c r="C9" s="147" t="s">
        <v>14</v>
      </c>
      <c r="D9" s="147"/>
      <c r="E9" s="147"/>
      <c r="F9" s="147"/>
      <c r="K9" s="1"/>
      <c r="N9" s="57"/>
    </row>
    <row r="10" spans="1:14" x14ac:dyDescent="0.2">
      <c r="A10" s="57"/>
      <c r="C10" s="53"/>
      <c r="K10" s="1"/>
      <c r="N10" s="57"/>
    </row>
    <row r="11" spans="1:14" x14ac:dyDescent="0.2">
      <c r="A11" s="57"/>
      <c r="C11" s="148" t="s">
        <v>82</v>
      </c>
      <c r="D11" s="148"/>
      <c r="E11" s="148"/>
      <c r="F11" s="148"/>
      <c r="K11" s="1"/>
      <c r="N11" s="57"/>
    </row>
    <row r="12" spans="1:14" x14ac:dyDescent="0.2">
      <c r="A12" s="57"/>
      <c r="C12" s="74" t="s">
        <v>64</v>
      </c>
      <c r="E12" s="74">
        <f>Application_Factor</f>
        <v>0.9</v>
      </c>
      <c r="K12" s="1"/>
      <c r="N12" s="57"/>
    </row>
    <row r="13" spans="1:14" x14ac:dyDescent="0.2">
      <c r="A13" s="57"/>
      <c r="C13" s="74" t="s">
        <v>81</v>
      </c>
      <c r="E13" s="119">
        <f>IF(ISBLANK(D_Average_biocide_release_over_the_lifetime_of_the_paint_M),D_User_Input!I30,D_Average_biocide_release_over_the_lifetime_of_the_paint_M)</f>
        <v>2.5</v>
      </c>
      <c r="K13" s="1"/>
      <c r="N13" s="57"/>
    </row>
    <row r="14" spans="1:14" x14ac:dyDescent="0.2">
      <c r="A14" s="57"/>
      <c r="K14" s="1"/>
      <c r="N14" s="57"/>
    </row>
    <row r="15" spans="1:14" x14ac:dyDescent="0.2">
      <c r="A15" s="57"/>
      <c r="C15" s="148" t="s">
        <v>56</v>
      </c>
      <c r="D15" s="148"/>
      <c r="E15" s="148"/>
      <c r="F15" s="148"/>
      <c r="K15" s="1"/>
      <c r="N15" s="57"/>
    </row>
    <row r="16" spans="1:14" x14ac:dyDescent="0.2">
      <c r="A16" s="57"/>
      <c r="C16" s="149" t="s">
        <v>105</v>
      </c>
      <c r="D16" s="149"/>
      <c r="E16" s="149"/>
      <c r="F16" s="120">
        <f>D_PNEC_Aquatic_Inside</f>
        <v>0.18</v>
      </c>
      <c r="K16" s="1"/>
      <c r="N16" s="57"/>
    </row>
    <row r="17" spans="1:22" x14ac:dyDescent="0.2">
      <c r="A17" s="57"/>
      <c r="C17" s="149" t="s">
        <v>104</v>
      </c>
      <c r="D17" s="149"/>
      <c r="E17" s="149"/>
      <c r="F17" s="120">
        <f>D_PNEC_Sediment_Inside</f>
        <v>1.3699999999999999E-3</v>
      </c>
      <c r="K17" s="1"/>
      <c r="N17" s="57"/>
    </row>
    <row r="18" spans="1:22" x14ac:dyDescent="0.2">
      <c r="A18" s="57"/>
      <c r="C18" s="149" t="s">
        <v>103</v>
      </c>
      <c r="D18" s="149"/>
      <c r="E18" s="149"/>
      <c r="F18" s="120">
        <f>D_PNEC_Aquatic_Surrounding</f>
        <v>0.18</v>
      </c>
      <c r="K18" s="1"/>
      <c r="N18" s="57"/>
    </row>
    <row r="19" spans="1:22" x14ac:dyDescent="0.2">
      <c r="A19" s="57"/>
      <c r="C19" s="149" t="s">
        <v>102</v>
      </c>
      <c r="D19" s="149"/>
      <c r="E19" s="149"/>
      <c r="F19" s="120">
        <f>D_PNEC_Sediment_Surrounding</f>
        <v>1.3699999999999999E-3</v>
      </c>
      <c r="K19" s="1"/>
      <c r="N19" s="57"/>
    </row>
    <row r="20" spans="1:22" x14ac:dyDescent="0.2">
      <c r="A20" s="57"/>
      <c r="K20" s="1"/>
      <c r="N20" s="57"/>
    </row>
    <row r="21" spans="1:22" x14ac:dyDescent="0.2">
      <c r="A21" s="57"/>
      <c r="C21" s="148" t="s">
        <v>54</v>
      </c>
      <c r="D21" s="148"/>
      <c r="E21" s="148"/>
      <c r="F21" s="148"/>
      <c r="K21" s="1"/>
      <c r="N21" s="57"/>
    </row>
    <row r="22" spans="1:22" ht="25.5" x14ac:dyDescent="0.2">
      <c r="A22" s="57"/>
      <c r="E22" s="102" t="s">
        <v>98</v>
      </c>
      <c r="F22" s="102" t="s">
        <v>99</v>
      </c>
      <c r="K22" s="1"/>
      <c r="N22" s="57"/>
    </row>
    <row r="23" spans="1:22" x14ac:dyDescent="0.2">
      <c r="A23" s="57"/>
      <c r="C23" s="74" t="s">
        <v>193</v>
      </c>
      <c r="E23" s="103">
        <f>D_Background_SW_Freshwater</f>
        <v>0</v>
      </c>
      <c r="F23" s="103">
        <f>D_Background_Sed_Freshwater</f>
        <v>0</v>
      </c>
      <c r="K23" s="1"/>
      <c r="N23" s="57"/>
    </row>
    <row r="24" spans="1:22" x14ac:dyDescent="0.2">
      <c r="A24" s="57"/>
      <c r="K24" s="1"/>
      <c r="N24" s="70"/>
      <c r="O24" s="63"/>
      <c r="P24" s="63"/>
    </row>
    <row r="25" spans="1:22" x14ac:dyDescent="0.2">
      <c r="A25" s="57"/>
      <c r="K25" s="1"/>
      <c r="N25" s="70"/>
      <c r="O25" s="63"/>
      <c r="P25" s="63"/>
    </row>
    <row r="26" spans="1:22" x14ac:dyDescent="0.2">
      <c r="A26" s="57"/>
      <c r="C26" s="53" t="s">
        <v>78</v>
      </c>
      <c r="K26" s="1"/>
      <c r="N26" s="70"/>
      <c r="O26" s="63"/>
      <c r="P26" s="63"/>
    </row>
    <row r="27" spans="1:22" ht="12.75" customHeight="1" x14ac:dyDescent="0.2">
      <c r="A27" s="57"/>
      <c r="N27" s="70"/>
      <c r="O27" s="63"/>
      <c r="P27" s="63"/>
    </row>
    <row r="28" spans="1:22" ht="80.099999999999994" customHeight="1" x14ac:dyDescent="0.2">
      <c r="A28" s="57"/>
      <c r="C28" s="150" t="s">
        <v>193</v>
      </c>
      <c r="D28" s="151"/>
      <c r="E28" s="104" t="s">
        <v>131</v>
      </c>
      <c r="F28" s="104" t="s">
        <v>132</v>
      </c>
      <c r="G28" s="104" t="s">
        <v>133</v>
      </c>
      <c r="H28" s="104" t="s">
        <v>134</v>
      </c>
      <c r="I28" s="104" t="s">
        <v>58</v>
      </c>
      <c r="J28" s="104" t="s">
        <v>126</v>
      </c>
      <c r="K28" s="104" t="s">
        <v>127</v>
      </c>
      <c r="L28" s="104" t="s">
        <v>128</v>
      </c>
      <c r="M28" s="65"/>
      <c r="N28" s="71"/>
      <c r="O28" s="65"/>
      <c r="P28" s="63"/>
      <c r="R28" s="63"/>
      <c r="S28" s="55"/>
      <c r="T28" s="55"/>
      <c r="U28" s="55"/>
      <c r="V28" s="55"/>
    </row>
    <row r="29" spans="1:22" x14ac:dyDescent="0.2">
      <c r="A29" s="57"/>
      <c r="C29" s="150" t="s">
        <v>160</v>
      </c>
      <c r="D29" s="151"/>
      <c r="E29" s="105">
        <f>'D_DE Marinas_Scenario_Calc'!J38</f>
        <v>2.543557380742282</v>
      </c>
      <c r="F29" s="105">
        <f>'D_DE Marinas_Scenario_Calc'!K38</f>
        <v>1.702241694230467E-2</v>
      </c>
      <c r="G29" s="105">
        <f>'D_DE Marinas_Scenario_Calc'!L38</f>
        <v>1.09582775060655E-3</v>
      </c>
      <c r="H29" s="105">
        <f>'D_DE Marinas_Scenario_Calc'!M38</f>
        <v>7.9254019896355295E-6</v>
      </c>
      <c r="I29" s="105">
        <f>'D_DE Marinas_Scenario_Calc'!R38</f>
        <v>14.130874337457122</v>
      </c>
      <c r="J29" s="105">
        <f>'D_DE Marinas_Scenario_Calc'!S38</f>
        <v>12.42512185569684</v>
      </c>
      <c r="K29" s="105">
        <f>'D_DE Marinas_Scenario_Calc'!T38</f>
        <v>6.087931947814167E-3</v>
      </c>
      <c r="L29" s="105">
        <f>'D_DE Marinas_Scenario_Calc'!U38</f>
        <v>5.7849649559383433E-3</v>
      </c>
      <c r="M29" s="63"/>
      <c r="N29" s="70"/>
      <c r="O29" s="63"/>
      <c r="P29" s="63"/>
      <c r="Q29" s="63"/>
      <c r="R29" s="63"/>
    </row>
    <row r="30" spans="1:22" x14ac:dyDescent="0.2">
      <c r="A30" s="57"/>
      <c r="C30" s="150" t="s">
        <v>159</v>
      </c>
      <c r="D30" s="151"/>
      <c r="E30" s="105">
        <f>'D_DE Marinas_Scenario_Calc'!J39</f>
        <v>4.0083957082174599</v>
      </c>
      <c r="F30" s="105">
        <f>'D_DE Marinas_Scenario_Calc'!K39</f>
        <v>0.19776999688663263</v>
      </c>
      <c r="G30" s="105">
        <f>'D_DE Marinas_Scenario_Calc'!L39</f>
        <v>1.6150030534013832E-3</v>
      </c>
      <c r="H30" s="105">
        <f>'D_DE Marinas_Scenario_Calc'!M39</f>
        <v>8.3323210832725683E-5</v>
      </c>
      <c r="I30" s="105">
        <f>'D_DE Marinas_Scenario_Calc'!R39</f>
        <v>22.268865045652564</v>
      </c>
      <c r="J30" s="105">
        <f>'D_DE Marinas_Scenario_Calc'!S39</f>
        <v>144.35766196104581</v>
      </c>
      <c r="K30" s="105">
        <f>'D_DE Marinas_Scenario_Calc'!T39</f>
        <v>8.97223918556324E-3</v>
      </c>
      <c r="L30" s="105">
        <f>'D_DE Marinas_Scenario_Calc'!U39</f>
        <v>6.0819861921697582E-2</v>
      </c>
      <c r="M30" s="63"/>
      <c r="N30" s="70"/>
      <c r="O30" s="63"/>
      <c r="P30" s="63"/>
      <c r="Q30" s="63"/>
      <c r="R30" s="63"/>
    </row>
    <row r="31" spans="1:22" ht="12.75" customHeight="1" x14ac:dyDescent="0.2">
      <c r="A31" s="57"/>
      <c r="C31" s="150" t="s">
        <v>12</v>
      </c>
      <c r="D31" s="151"/>
      <c r="E31" s="105">
        <f>'D_DE Marinas_Scenario_Calc'!J40</f>
        <v>10.931578754928291</v>
      </c>
      <c r="F31" s="105">
        <f>'D_DE Marinas_Scenario_Calc'!K40</f>
        <v>2.9554979168825142</v>
      </c>
      <c r="G31" s="105">
        <f>'D_DE Marinas_Scenario_Calc'!L40</f>
        <v>5.0572682081534209E-3</v>
      </c>
      <c r="H31" s="105">
        <f>'D_DE Marinas_Scenario_Calc'!M40</f>
        <v>1.2223423485374048E-3</v>
      </c>
      <c r="I31" s="105">
        <f>'D_DE Marinas_Scenario_Calc'!R40</f>
        <v>60.730993082934951</v>
      </c>
      <c r="J31" s="105">
        <f>'D_DE Marinas_Scenario_Calc'!S40</f>
        <v>2157.2977495492805</v>
      </c>
      <c r="K31" s="105">
        <f>'D_DE Marinas_Scenario_Calc'!T40</f>
        <v>2.809593448974123E-2</v>
      </c>
      <c r="L31" s="105">
        <f>'D_DE Marinas_Scenario_Calc'!U40</f>
        <v>0.89222069236306933</v>
      </c>
      <c r="N31" s="57"/>
    </row>
    <row r="32" spans="1:22" x14ac:dyDescent="0.2">
      <c r="A32" s="57"/>
      <c r="C32" s="150" t="s">
        <v>13</v>
      </c>
      <c r="D32" s="151"/>
      <c r="E32" s="105">
        <f>'D_DE Marinas_Scenario_Calc'!J41</f>
        <v>7.9800215476662772E-2</v>
      </c>
      <c r="F32" s="105">
        <f>'D_DE Marinas_Scenario_Calc'!K41</f>
        <v>7.5640575769770471E-5</v>
      </c>
      <c r="G32" s="105">
        <f>'D_DE Marinas_Scenario_Calc'!L41</f>
        <v>7.9982856987082258E-5</v>
      </c>
      <c r="H32" s="105">
        <f>'D_DE Marinas_Scenario_Calc'!M41</f>
        <v>7.5813696665726976E-8</v>
      </c>
      <c r="I32" s="105">
        <f>'D_DE Marinas_Scenario_Calc'!R41</f>
        <v>0.44333453042590432</v>
      </c>
      <c r="J32" s="105">
        <f>'D_DE Marinas_Scenario_Calc'!S41</f>
        <v>5.5212099102022245E-2</v>
      </c>
      <c r="K32" s="105">
        <f>'D_DE Marinas_Scenario_Calc'!T41</f>
        <v>4.4434920548379033E-4</v>
      </c>
      <c r="L32" s="105">
        <f>'D_DE Marinas_Scenario_Calc'!U41</f>
        <v>5.5338464719508742E-5</v>
      </c>
      <c r="N32" s="57"/>
    </row>
    <row r="33" spans="1:25" x14ac:dyDescent="0.2">
      <c r="A33" s="57"/>
      <c r="C33" s="63"/>
      <c r="D33" s="63"/>
      <c r="E33" s="63"/>
      <c r="F33" s="63"/>
      <c r="G33" s="63"/>
      <c r="H33" s="63"/>
      <c r="N33" s="57"/>
    </row>
    <row r="34" spans="1:25" x14ac:dyDescent="0.2">
      <c r="A34" s="57"/>
      <c r="B34" s="57"/>
      <c r="C34" s="58"/>
      <c r="D34" s="57"/>
      <c r="E34" s="57"/>
      <c r="F34" s="57"/>
      <c r="G34" s="57"/>
      <c r="H34" s="57"/>
      <c r="I34" s="57"/>
      <c r="J34" s="57"/>
      <c r="K34" s="57"/>
      <c r="L34" s="57"/>
      <c r="M34" s="57"/>
      <c r="N34" s="57"/>
      <c r="P34" s="64"/>
      <c r="Q34" s="64"/>
      <c r="R34" s="63"/>
      <c r="S34" s="63"/>
      <c r="T34" s="63"/>
      <c r="U34" s="63"/>
      <c r="V34" s="63"/>
      <c r="W34" s="63"/>
      <c r="X34" s="10"/>
      <c r="Y34" s="1"/>
    </row>
    <row r="35" spans="1:25" x14ac:dyDescent="0.2">
      <c r="A35" s="57"/>
      <c r="C35" s="53" t="s">
        <v>79</v>
      </c>
      <c r="N35" s="57"/>
    </row>
    <row r="36" spans="1:25" x14ac:dyDescent="0.2">
      <c r="A36" s="57"/>
      <c r="B36" s="74"/>
      <c r="N36" s="57"/>
    </row>
    <row r="37" spans="1:25" x14ac:dyDescent="0.2">
      <c r="A37" s="57"/>
      <c r="C37" s="72" t="s">
        <v>76</v>
      </c>
      <c r="D37" s="87"/>
      <c r="E37" s="87"/>
      <c r="F37" s="87"/>
      <c r="G37" s="87"/>
      <c r="N37" s="57"/>
    </row>
    <row r="38" spans="1:25" ht="105.95" customHeight="1" x14ac:dyDescent="0.2">
      <c r="A38" s="57"/>
      <c r="B38" s="74"/>
      <c r="C38" s="54" t="s">
        <v>8</v>
      </c>
      <c r="D38" s="130" t="s">
        <v>9</v>
      </c>
      <c r="E38" s="104" t="s">
        <v>131</v>
      </c>
      <c r="F38" s="104" t="s">
        <v>132</v>
      </c>
      <c r="G38" s="104" t="s">
        <v>133</v>
      </c>
      <c r="H38" s="104" t="s">
        <v>134</v>
      </c>
      <c r="N38" s="57"/>
    </row>
    <row r="39" spans="1:25" x14ac:dyDescent="0.2">
      <c r="A39" s="57"/>
      <c r="C39" s="107" t="s">
        <v>172</v>
      </c>
      <c r="D39" s="107" t="s">
        <v>11</v>
      </c>
      <c r="E39" s="105">
        <f>'D_DE Marinas_Scenario_Calc'!J21</f>
        <v>4.9631212330796473</v>
      </c>
      <c r="F39" s="105">
        <f>'D_DE Marinas_Scenario_Calc'!K21</f>
        <v>5.8113357246889841E-3</v>
      </c>
      <c r="G39" s="105">
        <f>'D_DE Marinas_Scenario_Calc'!L21</f>
        <v>1.1996904736233758E-3</v>
      </c>
      <c r="H39" s="105">
        <f>'D_DE Marinas_Scenario_Calc'!M21</f>
        <v>1.4047217038796295E-6</v>
      </c>
      <c r="N39" s="57"/>
    </row>
    <row r="40" spans="1:25" x14ac:dyDescent="0.2">
      <c r="A40" s="57"/>
      <c r="C40" s="107" t="s">
        <v>173</v>
      </c>
      <c r="D40" s="107" t="s">
        <v>11</v>
      </c>
      <c r="E40" s="105">
        <f>'D_DE Marinas_Scenario_Calc'!J22</f>
        <v>2.543557380742282</v>
      </c>
      <c r="F40" s="105">
        <f>'D_DE Marinas_Scenario_Calc'!K22</f>
        <v>2.5775487534713971E-2</v>
      </c>
      <c r="G40" s="105">
        <f>'D_DE Marinas_Scenario_Calc'!L22</f>
        <v>7.8208859379416153E-4</v>
      </c>
      <c r="H40" s="105">
        <f>'D_DE Marinas_Scenario_Calc'!M22</f>
        <v>7.9254019896355295E-6</v>
      </c>
      <c r="N40" s="57"/>
    </row>
    <row r="41" spans="1:25" x14ac:dyDescent="0.2">
      <c r="A41" s="57"/>
      <c r="C41" s="107" t="s">
        <v>174</v>
      </c>
      <c r="D41" s="107" t="s">
        <v>11</v>
      </c>
      <c r="E41" s="105">
        <f>'D_DE Marinas_Scenario_Calc'!J23</f>
        <v>5.1156711592658741</v>
      </c>
      <c r="F41" s="105">
        <f>'D_DE Marinas_Scenario_Calc'!K23</f>
        <v>0.10257255350863909</v>
      </c>
      <c r="G41" s="105">
        <f>'D_DE Marinas_Scenario_Calc'!L23</f>
        <v>1.9061827830830812E-3</v>
      </c>
      <c r="H41" s="105">
        <f>'D_DE Marinas_Scenario_Calc'!M23</f>
        <v>3.8220211644968569E-5</v>
      </c>
      <c r="N41" s="57"/>
    </row>
    <row r="42" spans="1:25" x14ac:dyDescent="0.2">
      <c r="A42" s="57"/>
      <c r="C42" s="107" t="s">
        <v>175</v>
      </c>
      <c r="D42" s="107" t="s">
        <v>11</v>
      </c>
      <c r="E42" s="105">
        <f>'D_DE Marinas_Scenario_Calc'!J24</f>
        <v>1.1578625712153854</v>
      </c>
      <c r="F42" s="105">
        <f>'D_DE Marinas_Scenario_Calc'!K24</f>
        <v>4.6095339211552629E-2</v>
      </c>
      <c r="G42" s="105">
        <f>'D_DE Marinas_Scenario_Calc'!L24</f>
        <v>6.4888143003893645E-4</v>
      </c>
      <c r="H42" s="105">
        <f>'D_DE Marinas_Scenario_Calc'!M24</f>
        <v>2.5832434953132741E-5</v>
      </c>
      <c r="N42" s="57"/>
    </row>
    <row r="43" spans="1:25" x14ac:dyDescent="0.2">
      <c r="A43" s="57"/>
      <c r="C43" s="107" t="s">
        <v>176</v>
      </c>
      <c r="D43" s="107" t="s">
        <v>11</v>
      </c>
      <c r="E43" s="105">
        <f>'D_DE Marinas_Scenario_Calc'!J25</f>
        <v>0.30269567236741113</v>
      </c>
      <c r="F43" s="105">
        <f>'D_DE Marinas_Scenario_Calc'!K25</f>
        <v>1.1526596903200308E-2</v>
      </c>
      <c r="G43" s="105">
        <f>'D_DE Marinas_Scenario_Calc'!L25</f>
        <v>1.2901765987431509E-4</v>
      </c>
      <c r="H43" s="105">
        <f>'D_DE Marinas_Scenario_Calc'!M25</f>
        <v>4.9129693599771496E-6</v>
      </c>
      <c r="N43" s="57"/>
    </row>
    <row r="44" spans="1:25" x14ac:dyDescent="0.2">
      <c r="A44" s="57"/>
      <c r="C44" s="107" t="s">
        <v>177</v>
      </c>
      <c r="D44" s="107" t="s">
        <v>11</v>
      </c>
      <c r="E44" s="105">
        <f>'D_DE Marinas_Scenario_Calc'!J26</f>
        <v>0.76911889365755814</v>
      </c>
      <c r="F44" s="105">
        <f>'D_DE Marinas_Scenario_Calc'!K26</f>
        <v>6.4201491115225551E-3</v>
      </c>
      <c r="G44" s="105">
        <f>'D_DE Marinas_Scenario_Calc'!L26</f>
        <v>6.8049843132382667E-4</v>
      </c>
      <c r="H44" s="105">
        <f>'D_DE Marinas_Scenario_Calc'!M26</f>
        <v>5.6803980025219477E-6</v>
      </c>
      <c r="N44" s="57"/>
    </row>
    <row r="45" spans="1:25" x14ac:dyDescent="0.2">
      <c r="A45" s="57"/>
      <c r="C45" s="107" t="s">
        <v>178</v>
      </c>
      <c r="D45" s="107" t="s">
        <v>11</v>
      </c>
      <c r="E45" s="105">
        <f>'D_DE Marinas_Scenario_Calc'!J27</f>
        <v>3.2005492279972261</v>
      </c>
      <c r="F45" s="105">
        <f>'D_DE Marinas_Scenario_Calc'!K27</f>
        <v>2.4503109089464062E-3</v>
      </c>
      <c r="G45" s="105">
        <f>'D_DE Marinas_Scenario_Calc'!L27</f>
        <v>2.229427039066873E-3</v>
      </c>
      <c r="H45" s="105">
        <f>'D_DE Marinas_Scenario_Calc'!M27</f>
        <v>1.7068287195065407E-6</v>
      </c>
      <c r="N45" s="57"/>
    </row>
    <row r="46" spans="1:25" x14ac:dyDescent="0.2">
      <c r="A46" s="57"/>
      <c r="C46" s="107" t="s">
        <v>179</v>
      </c>
      <c r="D46" s="107" t="s">
        <v>11</v>
      </c>
      <c r="E46" s="105">
        <f>'D_DE Marinas_Scenario_Calc'!J28</f>
        <v>5.302767947636517</v>
      </c>
      <c r="F46" s="105">
        <f>'D_DE Marinas_Scenario_Calc'!K28</f>
        <v>2.9554979168825142</v>
      </c>
      <c r="G46" s="105">
        <f>'D_DE Marinas_Scenario_Calc'!L28</f>
        <v>2.1931322531825162E-3</v>
      </c>
      <c r="H46" s="105">
        <f>'D_DE Marinas_Scenario_Calc'!M28</f>
        <v>1.2223423485374048E-3</v>
      </c>
      <c r="N46" s="57"/>
    </row>
    <row r="47" spans="1:25" x14ac:dyDescent="0.2">
      <c r="A47" s="57"/>
      <c r="C47" s="107" t="s">
        <v>180</v>
      </c>
      <c r="D47" s="107" t="s">
        <v>11</v>
      </c>
      <c r="E47" s="105">
        <f>'D_DE Marinas_Scenario_Calc'!J29</f>
        <v>1.0670364259594523</v>
      </c>
      <c r="F47" s="105">
        <f>'D_DE Marinas_Scenario_Calc'!K29</f>
        <v>6.7072875322976792E-3</v>
      </c>
      <c r="G47" s="105">
        <f>'D_DE Marinas_Scenario_Calc'!L29</f>
        <v>2.5879791522646673E-3</v>
      </c>
      <c r="H47" s="105">
        <f>'D_DE Marinas_Scenario_Calc'!M29</f>
        <v>1.6267785992075429E-5</v>
      </c>
      <c r="N47" s="57"/>
    </row>
    <row r="48" spans="1:25" x14ac:dyDescent="0.2">
      <c r="A48" s="57"/>
      <c r="C48" s="107" t="s">
        <v>181</v>
      </c>
      <c r="D48" s="107" t="s">
        <v>11</v>
      </c>
      <c r="E48" s="105">
        <f>'D_DE Marinas_Scenario_Calc'!J30</f>
        <v>7.9800215476662772E-2</v>
      </c>
      <c r="F48" s="105">
        <f>'D_DE Marinas_Scenario_Calc'!K30</f>
        <v>7.5640575769770471E-5</v>
      </c>
      <c r="G48" s="105">
        <f>'D_DE Marinas_Scenario_Calc'!L30</f>
        <v>7.9982856987082258E-5</v>
      </c>
      <c r="H48" s="105">
        <f>'D_DE Marinas_Scenario_Calc'!M30</f>
        <v>7.5813696665726976E-8</v>
      </c>
      <c r="N48" s="57"/>
    </row>
    <row r="49" spans="1:14" x14ac:dyDescent="0.2">
      <c r="A49" s="57"/>
      <c r="C49" s="107" t="s">
        <v>182</v>
      </c>
      <c r="D49" s="107" t="s">
        <v>11</v>
      </c>
      <c r="E49" s="105">
        <f>'D_DE Marinas_Scenario_Calc'!J31</f>
        <v>7.7074883086163064</v>
      </c>
      <c r="F49" s="105">
        <f>'D_DE Marinas_Scenario_Calc'!K31</f>
        <v>6.4908600273745259E-2</v>
      </c>
      <c r="G49" s="105">
        <f>'D_DE Marinas_Scenario_Calc'!L31</f>
        <v>3.4542030899831567E-3</v>
      </c>
      <c r="H49" s="105">
        <f>'D_DE Marinas_Scenario_Calc'!M31</f>
        <v>2.9089565548921773E-5</v>
      </c>
      <c r="N49" s="57"/>
    </row>
    <row r="50" spans="1:14" x14ac:dyDescent="0.2">
      <c r="A50" s="57"/>
      <c r="C50" s="107" t="s">
        <v>183</v>
      </c>
      <c r="D50" s="107" t="s">
        <v>11</v>
      </c>
      <c r="E50" s="105">
        <f>'D_DE Marinas_Scenario_Calc'!J32</f>
        <v>8.1064945818255687</v>
      </c>
      <c r="F50" s="105">
        <f>'D_DE Marinas_Scenario_Calc'!K32</f>
        <v>2.9338671013573299E-2</v>
      </c>
      <c r="G50" s="105">
        <f>'D_DE Marinas_Scenario_Calc'!L32</f>
        <v>5.0572682081534209E-3</v>
      </c>
      <c r="H50" s="105">
        <f>'D_DE Marinas_Scenario_Calc'!M32</f>
        <v>1.8303044206233601E-5</v>
      </c>
      <c r="N50" s="57"/>
    </row>
    <row r="51" spans="1:14" x14ac:dyDescent="0.2">
      <c r="A51" s="57"/>
      <c r="C51" s="107" t="s">
        <v>184</v>
      </c>
      <c r="D51" s="107" t="s">
        <v>11</v>
      </c>
      <c r="E51" s="105">
        <f>'D_DE Marinas_Scenario_Calc'!J33</f>
        <v>2.3564102009748389</v>
      </c>
      <c r="F51" s="105">
        <f>'D_DE Marinas_Scenario_Calc'!K33</f>
        <v>2.931574355202932E-2</v>
      </c>
      <c r="G51" s="105">
        <f>'D_DE Marinas_Scenario_Calc'!L33</f>
        <v>1.09582775060655E-3</v>
      </c>
      <c r="H51" s="105">
        <f>'D_DE Marinas_Scenario_Calc'!M33</f>
        <v>1.3633027651622528E-5</v>
      </c>
      <c r="N51" s="57"/>
    </row>
    <row r="52" spans="1:14" x14ac:dyDescent="0.2">
      <c r="A52" s="57"/>
      <c r="C52" s="107" t="s">
        <v>185</v>
      </c>
      <c r="D52" s="107" t="s">
        <v>11</v>
      </c>
      <c r="E52" s="105">
        <f>'D_DE Marinas_Scenario_Calc'!J34</f>
        <v>1.5599159554931352</v>
      </c>
      <c r="F52" s="105">
        <f>'D_DE Marinas_Scenario_Calc'!K34</f>
        <v>6.9001528223277186E-4</v>
      </c>
      <c r="G52" s="105">
        <f>'D_DE Marinas_Scenario_Calc'!L34</f>
        <v>3.1350566215363601E-4</v>
      </c>
      <c r="H52" s="105">
        <f>'D_DE Marinas_Scenario_Calc'!M34</f>
        <v>1.3867650748306038E-7</v>
      </c>
      <c r="N52" s="57"/>
    </row>
    <row r="53" spans="1:14" x14ac:dyDescent="0.2">
      <c r="A53" s="57"/>
      <c r="C53" s="107" t="s">
        <v>186</v>
      </c>
      <c r="D53" s="107" t="s">
        <v>11</v>
      </c>
      <c r="E53" s="105">
        <f>'D_DE Marinas_Scenario_Calc'!J35</f>
        <v>10.931578754928291</v>
      </c>
      <c r="F53" s="105">
        <f>'D_DE Marinas_Scenario_Calc'!K35</f>
        <v>1.2185430739633128E-2</v>
      </c>
      <c r="G53" s="105">
        <f>'D_DE Marinas_Scenario_Calc'!L35</f>
        <v>8.0713923037166436E-4</v>
      </c>
      <c r="H53" s="105">
        <f>'D_DE Marinas_Scenario_Calc'!M35</f>
        <v>8.9971809310142884E-7</v>
      </c>
      <c r="N53" s="57"/>
    </row>
    <row r="54" spans="1:14" x14ac:dyDescent="0.2">
      <c r="A54" s="57"/>
      <c r="C54" s="107" t="s">
        <v>187</v>
      </c>
      <c r="D54" s="107" t="s">
        <v>11</v>
      </c>
      <c r="E54" s="105">
        <f>'D_DE Marinas_Scenario_Calc'!J36</f>
        <v>10.840739768864671</v>
      </c>
      <c r="F54" s="105">
        <f>'D_DE Marinas_Scenario_Calc'!K36</f>
        <v>4.5696451375391439E-2</v>
      </c>
      <c r="G54" s="105">
        <f>'D_DE Marinas_Scenario_Calc'!L36</f>
        <v>1.0936450859314469E-3</v>
      </c>
      <c r="H54" s="105">
        <f>'D_DE Marinas_Scenario_Calc'!M36</f>
        <v>4.6099897756252304E-6</v>
      </c>
      <c r="N54" s="57"/>
    </row>
    <row r="55" spans="1:14" x14ac:dyDescent="0.2">
      <c r="A55" s="57"/>
      <c r="C55" s="107" t="s">
        <v>188</v>
      </c>
      <c r="D55" s="107" t="s">
        <v>11</v>
      </c>
      <c r="E55" s="105">
        <f>'D_DE Marinas_Scenario_Calc'!J37</f>
        <v>2.1379187415960046</v>
      </c>
      <c r="F55" s="105">
        <f>'D_DE Marinas_Scenario_Calc'!K37</f>
        <v>1.702241694230467E-2</v>
      </c>
      <c r="G55" s="105">
        <f>'D_DE Marinas_Scenario_Calc'!L37</f>
        <v>3.1965822073848041E-3</v>
      </c>
      <c r="H55" s="105">
        <f>'D_DE Marinas_Scenario_Calc'!M37</f>
        <v>2.545164777358086E-5</v>
      </c>
      <c r="N55" s="57"/>
    </row>
    <row r="56" spans="1:14" x14ac:dyDescent="0.2">
      <c r="A56" s="57"/>
      <c r="C56" s="83"/>
      <c r="D56" s="83"/>
      <c r="E56" s="84"/>
      <c r="F56" s="84"/>
      <c r="G56" s="84"/>
      <c r="H56" s="84"/>
      <c r="N56" s="57"/>
    </row>
    <row r="57" spans="1:14" x14ac:dyDescent="0.2">
      <c r="A57" s="57"/>
      <c r="B57" s="74"/>
      <c r="C57" s="52" t="s">
        <v>77</v>
      </c>
      <c r="N57" s="57"/>
    </row>
    <row r="58" spans="1:14" x14ac:dyDescent="0.2">
      <c r="A58" s="57"/>
      <c r="C58" s="74" t="s">
        <v>83</v>
      </c>
      <c r="N58" s="57"/>
    </row>
    <row r="59" spans="1:14" ht="120" customHeight="1" x14ac:dyDescent="0.2">
      <c r="A59" s="57"/>
      <c r="C59" s="54" t="s">
        <v>8</v>
      </c>
      <c r="D59" s="130" t="s">
        <v>9</v>
      </c>
      <c r="E59" s="104" t="s">
        <v>58</v>
      </c>
      <c r="F59" s="104" t="s">
        <v>59</v>
      </c>
      <c r="G59" s="104" t="s">
        <v>60</v>
      </c>
      <c r="H59" s="104" t="s">
        <v>61</v>
      </c>
      <c r="N59" s="57"/>
    </row>
    <row r="60" spans="1:14" x14ac:dyDescent="0.2">
      <c r="A60" s="57"/>
      <c r="C60" s="107" t="s">
        <v>172</v>
      </c>
      <c r="D60" s="107" t="s">
        <v>11</v>
      </c>
      <c r="E60" s="105">
        <f>'D_DE Marinas_Scenario_Calc'!R21</f>
        <v>27.572895739331376</v>
      </c>
      <c r="F60" s="105">
        <f>'D_DE Marinas_Scenario_Calc'!S21</f>
        <v>4.2418508939335657</v>
      </c>
      <c r="G60" s="105">
        <f>'D_DE Marinas_Scenario_Calc'!T21</f>
        <v>6.6649470756854215E-3</v>
      </c>
      <c r="H60" s="105">
        <f>'D_DE Marinas_Scenario_Calc'!U21</f>
        <v>1.0253443094011894E-3</v>
      </c>
      <c r="N60" s="57"/>
    </row>
    <row r="61" spans="1:14" x14ac:dyDescent="0.2">
      <c r="A61" s="57"/>
      <c r="C61" s="107" t="s">
        <v>173</v>
      </c>
      <c r="D61" s="107" t="s">
        <v>11</v>
      </c>
      <c r="E61" s="105">
        <f>'D_DE Marinas_Scenario_Calc'!R22</f>
        <v>14.130874337457122</v>
      </c>
      <c r="F61" s="105">
        <f>'D_DE Marinas_Scenario_Calc'!S22</f>
        <v>18.814224477893411</v>
      </c>
      <c r="G61" s="105">
        <f>'D_DE Marinas_Scenario_Calc'!T22</f>
        <v>4.3449366321897864E-3</v>
      </c>
      <c r="H61" s="105">
        <f>'D_DE Marinas_Scenario_Calc'!U22</f>
        <v>5.7849649559383433E-3</v>
      </c>
      <c r="N61" s="57"/>
    </row>
    <row r="62" spans="1:14" x14ac:dyDescent="0.2">
      <c r="A62" s="57"/>
      <c r="C62" s="107" t="s">
        <v>174</v>
      </c>
      <c r="D62" s="107" t="s">
        <v>11</v>
      </c>
      <c r="E62" s="105">
        <f>'D_DE Marinas_Scenario_Calc'!R23</f>
        <v>28.420395329254859</v>
      </c>
      <c r="F62" s="105">
        <f>'D_DE Marinas_Scenario_Calc'!S23</f>
        <v>74.870477013605182</v>
      </c>
      <c r="G62" s="105">
        <f>'D_DE Marinas_Scenario_Calc'!T23</f>
        <v>1.0589904350461563E-2</v>
      </c>
      <c r="H62" s="105">
        <f>'D_DE Marinas_Scenario_Calc'!U23</f>
        <v>2.7897964704356622E-2</v>
      </c>
      <c r="N62" s="57"/>
    </row>
    <row r="63" spans="1:14" x14ac:dyDescent="0.2">
      <c r="A63" s="57"/>
      <c r="C63" s="107" t="s">
        <v>175</v>
      </c>
      <c r="D63" s="107" t="s">
        <v>11</v>
      </c>
      <c r="E63" s="105">
        <f>'D_DE Marinas_Scenario_Calc'!R24</f>
        <v>6.4325698400854749</v>
      </c>
      <c r="F63" s="105">
        <f>'D_DE Marinas_Scenario_Calc'!S24</f>
        <v>33.646233001133311</v>
      </c>
      <c r="G63" s="105">
        <f>'D_DE Marinas_Scenario_Calc'!T24</f>
        <v>3.6048968335496471E-3</v>
      </c>
      <c r="H63" s="105">
        <f>'D_DE Marinas_Scenario_Calc'!U24</f>
        <v>1.8855791936593244E-2</v>
      </c>
      <c r="N63" s="57"/>
    </row>
    <row r="64" spans="1:14" x14ac:dyDescent="0.2">
      <c r="A64" s="57"/>
      <c r="C64" s="107" t="s">
        <v>176</v>
      </c>
      <c r="D64" s="107" t="s">
        <v>11</v>
      </c>
      <c r="E64" s="105">
        <f>'D_DE Marinas_Scenario_Calc'!R25</f>
        <v>1.6816426242633953</v>
      </c>
      <c r="F64" s="105">
        <f>'D_DE Marinas_Scenario_Calc'!S25</f>
        <v>8.4135743818980355</v>
      </c>
      <c r="G64" s="105">
        <f>'D_DE Marinas_Scenario_Calc'!T25</f>
        <v>7.1676477707952827E-4</v>
      </c>
      <c r="H64" s="105">
        <f>'D_DE Marinas_Scenario_Calc'!U25</f>
        <v>3.5861090218811315E-3</v>
      </c>
      <c r="N64" s="57"/>
    </row>
    <row r="65" spans="1:14" x14ac:dyDescent="0.2">
      <c r="A65" s="57"/>
      <c r="C65" s="107" t="s">
        <v>177</v>
      </c>
      <c r="D65" s="107" t="s">
        <v>11</v>
      </c>
      <c r="E65" s="105">
        <f>'D_DE Marinas_Scenario_Calc'!R26</f>
        <v>4.2728827425419897</v>
      </c>
      <c r="F65" s="105">
        <f>'D_DE Marinas_Scenario_Calc'!S26</f>
        <v>4.6862402273887263</v>
      </c>
      <c r="G65" s="105">
        <f>'D_DE Marinas_Scenario_Calc'!T26</f>
        <v>3.780546840687926E-3</v>
      </c>
      <c r="H65" s="105">
        <f>'D_DE Marinas_Scenario_Calc'!U26</f>
        <v>4.1462759142495975E-3</v>
      </c>
      <c r="N65" s="57"/>
    </row>
    <row r="66" spans="1:14" x14ac:dyDescent="0.2">
      <c r="A66" s="57"/>
      <c r="C66" s="107" t="s">
        <v>178</v>
      </c>
      <c r="D66" s="107" t="s">
        <v>11</v>
      </c>
      <c r="E66" s="105">
        <f>'D_DE Marinas_Scenario_Calc'!R27</f>
        <v>17.780829044429034</v>
      </c>
      <c r="F66" s="105">
        <f>'D_DE Marinas_Scenario_Calc'!S27</f>
        <v>1.7885481087200046</v>
      </c>
      <c r="G66" s="105">
        <f>'D_DE Marinas_Scenario_Calc'!T27</f>
        <v>1.2385705772593739E-2</v>
      </c>
      <c r="H66" s="105">
        <f>'D_DE Marinas_Scenario_Calc'!U27</f>
        <v>1.2458603792018547E-3</v>
      </c>
      <c r="N66" s="57"/>
    </row>
    <row r="67" spans="1:14" x14ac:dyDescent="0.2">
      <c r="A67" s="57"/>
      <c r="C67" s="107" t="s">
        <v>179</v>
      </c>
      <c r="D67" s="107" t="s">
        <v>11</v>
      </c>
      <c r="E67" s="105">
        <f>'D_DE Marinas_Scenario_Calc'!R28</f>
        <v>29.459821931313986</v>
      </c>
      <c r="F67" s="105">
        <f>'D_DE Marinas_Scenario_Calc'!S28</f>
        <v>2157.2977495492805</v>
      </c>
      <c r="G67" s="105">
        <f>'D_DE Marinas_Scenario_Calc'!T28</f>
        <v>1.2184068073236201E-2</v>
      </c>
      <c r="H67" s="105">
        <f>'D_DE Marinas_Scenario_Calc'!U28</f>
        <v>0.89222069236306933</v>
      </c>
      <c r="N67" s="57"/>
    </row>
    <row r="68" spans="1:14" x14ac:dyDescent="0.2">
      <c r="A68" s="57"/>
      <c r="C68" s="107" t="s">
        <v>180</v>
      </c>
      <c r="D68" s="107" t="s">
        <v>11</v>
      </c>
      <c r="E68" s="105">
        <f>'D_DE Marinas_Scenario_Calc'!R29</f>
        <v>5.9279801442191795</v>
      </c>
      <c r="F68" s="105">
        <f>'D_DE Marinas_Scenario_Calc'!S29</f>
        <v>4.8958303155457514</v>
      </c>
      <c r="G68" s="105">
        <f>'D_DE Marinas_Scenario_Calc'!T29</f>
        <v>1.4377661957025929E-2</v>
      </c>
      <c r="H68" s="105">
        <f>'D_DE Marinas_Scenario_Calc'!U29</f>
        <v>1.1874296344580607E-2</v>
      </c>
      <c r="N68" s="57"/>
    </row>
    <row r="69" spans="1:14" x14ac:dyDescent="0.2">
      <c r="A69" s="57"/>
      <c r="C69" s="107" t="s">
        <v>181</v>
      </c>
      <c r="D69" s="107" t="s">
        <v>11</v>
      </c>
      <c r="E69" s="105">
        <f>'D_DE Marinas_Scenario_Calc'!R30</f>
        <v>0.44333453042590432</v>
      </c>
      <c r="F69" s="105">
        <f>'D_DE Marinas_Scenario_Calc'!S30</f>
        <v>5.5212099102022245E-2</v>
      </c>
      <c r="G69" s="105">
        <f>'D_DE Marinas_Scenario_Calc'!T30</f>
        <v>4.4434920548379033E-4</v>
      </c>
      <c r="H69" s="105">
        <f>'D_DE Marinas_Scenario_Calc'!U30</f>
        <v>5.5338464719508742E-5</v>
      </c>
      <c r="N69" s="57"/>
    </row>
    <row r="70" spans="1:14" x14ac:dyDescent="0.2">
      <c r="A70" s="57"/>
      <c r="C70" s="107" t="s">
        <v>182</v>
      </c>
      <c r="D70" s="107" t="s">
        <v>11</v>
      </c>
      <c r="E70" s="105">
        <f>'D_DE Marinas_Scenario_Calc'!R31</f>
        <v>42.819379492312812</v>
      </c>
      <c r="F70" s="105">
        <f>'D_DE Marinas_Scenario_Calc'!S31</f>
        <v>47.378540345799465</v>
      </c>
      <c r="G70" s="105">
        <f>'D_DE Marinas_Scenario_Calc'!T31</f>
        <v>1.9190017166573092E-2</v>
      </c>
      <c r="H70" s="105">
        <f>'D_DE Marinas_Scenario_Calc'!U31</f>
        <v>2.123325952476042E-2</v>
      </c>
      <c r="N70" s="57"/>
    </row>
    <row r="71" spans="1:14" x14ac:dyDescent="0.2">
      <c r="A71" s="57"/>
      <c r="C71" s="107" t="s">
        <v>183</v>
      </c>
      <c r="D71" s="107" t="s">
        <v>11</v>
      </c>
      <c r="E71" s="105">
        <f>'D_DE Marinas_Scenario_Calc'!R32</f>
        <v>45.036081010142048</v>
      </c>
      <c r="F71" s="105">
        <f>'D_DE Marinas_Scenario_Calc'!S32</f>
        <v>21.415088331075403</v>
      </c>
      <c r="G71" s="105">
        <f>'D_DE Marinas_Scenario_Calc'!T32</f>
        <v>2.809593448974123E-2</v>
      </c>
      <c r="H71" s="105">
        <f>'D_DE Marinas_Scenario_Calc'!U32</f>
        <v>1.3359886281922338E-2</v>
      </c>
      <c r="N71" s="57"/>
    </row>
    <row r="72" spans="1:14" x14ac:dyDescent="0.2">
      <c r="A72" s="57"/>
      <c r="C72" s="107" t="s">
        <v>184</v>
      </c>
      <c r="D72" s="107" t="s">
        <v>11</v>
      </c>
      <c r="E72" s="105">
        <f>'D_DE Marinas_Scenario_Calc'!R33</f>
        <v>13.09116778319355</v>
      </c>
      <c r="F72" s="105">
        <f>'D_DE Marinas_Scenario_Calc'!S33</f>
        <v>21.398352957685635</v>
      </c>
      <c r="G72" s="105">
        <f>'D_DE Marinas_Scenario_Calc'!T33</f>
        <v>6.087931947814167E-3</v>
      </c>
      <c r="H72" s="105">
        <f>'D_DE Marinas_Scenario_Calc'!U33</f>
        <v>9.9511150741770291E-3</v>
      </c>
      <c r="N72" s="57"/>
    </row>
    <row r="73" spans="1:14" x14ac:dyDescent="0.2">
      <c r="A73" s="57"/>
      <c r="C73" s="107" t="s">
        <v>185</v>
      </c>
      <c r="D73" s="107" t="s">
        <v>11</v>
      </c>
      <c r="E73" s="105">
        <f>'D_DE Marinas_Scenario_Calc'!R34</f>
        <v>8.6661997527396402</v>
      </c>
      <c r="F73" s="105">
        <f>'D_DE Marinas_Scenario_Calc'!S34</f>
        <v>0.50366078995092844</v>
      </c>
      <c r="G73" s="105">
        <f>'D_DE Marinas_Scenario_Calc'!T34</f>
        <v>1.7416981230757556E-3</v>
      </c>
      <c r="H73" s="105">
        <f>'D_DE Marinas_Scenario_Calc'!U34</f>
        <v>1.012237280898251E-4</v>
      </c>
      <c r="N73" s="57"/>
    </row>
    <row r="74" spans="1:14" x14ac:dyDescent="0.2">
      <c r="A74" s="57"/>
      <c r="C74" s="107" t="s">
        <v>186</v>
      </c>
      <c r="D74" s="107" t="s">
        <v>11</v>
      </c>
      <c r="E74" s="105">
        <f>'D_DE Marinas_Scenario_Calc'!R35</f>
        <v>60.730993082934951</v>
      </c>
      <c r="F74" s="105">
        <f>'D_DE Marinas_Scenario_Calc'!S35</f>
        <v>8.89447499243294</v>
      </c>
      <c r="G74" s="105">
        <f>'D_DE Marinas_Scenario_Calc'!T35</f>
        <v>4.4841068353981351E-3</v>
      </c>
      <c r="H74" s="105">
        <f>'D_DE Marinas_Scenario_Calc'!U35</f>
        <v>6.5672853511053203E-4</v>
      </c>
      <c r="N74" s="57"/>
    </row>
    <row r="75" spans="1:14" x14ac:dyDescent="0.2">
      <c r="A75" s="57"/>
      <c r="C75" s="107" t="s">
        <v>187</v>
      </c>
      <c r="D75" s="107" t="s">
        <v>11</v>
      </c>
      <c r="E75" s="105">
        <f>'D_DE Marinas_Scenario_Calc'!R36</f>
        <v>60.226332049248171</v>
      </c>
      <c r="F75" s="105">
        <f>'D_DE Marinas_Scenario_Calc'!S36</f>
        <v>33.355073996636087</v>
      </c>
      <c r="G75" s="105">
        <f>'D_DE Marinas_Scenario_Calc'!T36</f>
        <v>6.0758060329524832E-3</v>
      </c>
      <c r="H75" s="105">
        <f>'D_DE Marinas_Scenario_Calc'!U36</f>
        <v>3.364956040602358E-3</v>
      </c>
      <c r="N75" s="57"/>
    </row>
    <row r="76" spans="1:14" x14ac:dyDescent="0.2">
      <c r="A76" s="57"/>
      <c r="C76" s="107" t="s">
        <v>188</v>
      </c>
      <c r="D76" s="107" t="s">
        <v>11</v>
      </c>
      <c r="E76" s="105">
        <f>'D_DE Marinas_Scenario_Calc'!R37</f>
        <v>11.877326342200027</v>
      </c>
      <c r="F76" s="105">
        <f>'D_DE Marinas_Scenario_Calc'!S37</f>
        <v>12.42512185569684</v>
      </c>
      <c r="G76" s="105">
        <f>'D_DE Marinas_Scenario_Calc'!T37</f>
        <v>1.7758790041026689E-2</v>
      </c>
      <c r="H76" s="105">
        <f>'D_DE Marinas_Scenario_Calc'!U37</f>
        <v>1.8577845090205009E-2</v>
      </c>
      <c r="N76" s="57"/>
    </row>
    <row r="77" spans="1:14" x14ac:dyDescent="0.2">
      <c r="A77" s="57"/>
      <c r="B77" s="74"/>
      <c r="N77" s="57"/>
    </row>
    <row r="78" spans="1:14" x14ac:dyDescent="0.2">
      <c r="A78" s="57"/>
      <c r="B78" s="57"/>
      <c r="C78" s="57"/>
      <c r="D78" s="57"/>
      <c r="E78" s="57"/>
      <c r="F78" s="57"/>
      <c r="G78" s="57"/>
      <c r="H78" s="57"/>
      <c r="I78" s="57"/>
      <c r="J78" s="57"/>
      <c r="K78" s="57"/>
      <c r="L78" s="57"/>
      <c r="M78" s="57"/>
      <c r="N78" s="57"/>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32:D32"/>
    <mergeCell ref="C29:D29"/>
    <mergeCell ref="C18:E18"/>
    <mergeCell ref="C9:F9"/>
    <mergeCell ref="C11:F11"/>
    <mergeCell ref="C15:F15"/>
    <mergeCell ref="C16:E16"/>
    <mergeCell ref="C17:E17"/>
    <mergeCell ref="C19:E19"/>
    <mergeCell ref="C21:F21"/>
    <mergeCell ref="C28:D28"/>
    <mergeCell ref="C30:D30"/>
    <mergeCell ref="C31:D31"/>
  </mergeCells>
  <conditionalFormatting sqref="E60:H76">
    <cfRule type="cellIs" dxfId="19" priority="2" operator="greaterThan">
      <formula>1</formula>
    </cfRule>
  </conditionalFormatting>
  <conditionalFormatting sqref="I29:L32">
    <cfRule type="cellIs" dxfId="18" priority="1" operator="greaterThan">
      <formula>1</formula>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B2:N51"/>
  <sheetViews>
    <sheetView zoomScale="90" zoomScaleNormal="90" workbookViewId="0">
      <selection activeCell="C3" sqref="C3:D3"/>
    </sheetView>
  </sheetViews>
  <sheetFormatPr baseColWidth="10" defaultColWidth="9" defaultRowHeight="12.75" x14ac:dyDescent="0.2"/>
  <cols>
    <col min="1" max="1" width="9" style="1"/>
    <col min="2" max="2" width="22.625" style="1" customWidth="1"/>
    <col min="3" max="3" width="3.875" style="99" customWidth="1"/>
    <col min="4" max="4" width="25.625" style="1" customWidth="1"/>
    <col min="5" max="12" width="11.625" style="1" customWidth="1"/>
    <col min="13" max="16384" width="9" style="1"/>
  </cols>
  <sheetData>
    <row r="2" spans="2:13" ht="21" thickBot="1" x14ac:dyDescent="0.35">
      <c r="B2" s="153" t="s">
        <v>90</v>
      </c>
      <c r="C2" s="153"/>
      <c r="D2" s="153"/>
      <c r="E2" s="153"/>
      <c r="F2" s="153"/>
      <c r="G2" s="153"/>
      <c r="H2" s="153"/>
      <c r="I2" s="153"/>
      <c r="J2" s="153"/>
      <c r="K2" s="153"/>
      <c r="L2" s="153"/>
      <c r="M2" s="153"/>
    </row>
    <row r="3" spans="2:13" ht="13.5" thickTop="1" x14ac:dyDescent="0.2">
      <c r="B3" s="113" t="str">
        <f>Tooltype</f>
        <v>Calculator tool for the German scenario for inland water marinas</v>
      </c>
      <c r="C3" s="113"/>
      <c r="D3" s="113"/>
      <c r="E3" s="74"/>
      <c r="F3" s="74"/>
      <c r="G3" s="74"/>
      <c r="H3" s="74"/>
      <c r="I3" s="74"/>
      <c r="J3" s="74"/>
      <c r="K3" s="74"/>
      <c r="L3" s="74"/>
    </row>
    <row r="4" spans="2:13" ht="15" x14ac:dyDescent="0.2">
      <c r="B4" s="154" t="s">
        <v>80</v>
      </c>
      <c r="C4" s="154"/>
      <c r="D4" s="154"/>
      <c r="E4" s="154"/>
      <c r="F4" s="154"/>
      <c r="G4" s="74"/>
      <c r="H4" s="74"/>
      <c r="I4" s="74"/>
      <c r="J4" s="74"/>
      <c r="K4" s="74"/>
      <c r="L4" s="74"/>
    </row>
    <row r="5" spans="2:13" x14ac:dyDescent="0.2">
      <c r="B5" s="155" t="s">
        <v>116</v>
      </c>
      <c r="C5" s="155"/>
      <c r="D5" s="155"/>
      <c r="E5" s="155"/>
      <c r="F5" s="82">
        <f>Z_PNEC_Aquatic_Inside</f>
        <v>0.219</v>
      </c>
      <c r="H5" s="74"/>
      <c r="I5" s="74"/>
      <c r="J5" s="74"/>
      <c r="K5" s="74"/>
      <c r="L5" s="74"/>
    </row>
    <row r="6" spans="2:13" x14ac:dyDescent="0.2">
      <c r="B6" s="155" t="s">
        <v>117</v>
      </c>
      <c r="C6" s="155"/>
      <c r="D6" s="155"/>
      <c r="E6" s="155"/>
      <c r="F6" s="82">
        <f>Z_PNEC_Sediment_Inside</f>
        <v>4.5499999999999999E-2</v>
      </c>
      <c r="H6" s="74"/>
      <c r="I6" s="74"/>
      <c r="J6" s="74"/>
      <c r="K6" s="74"/>
      <c r="L6" s="74"/>
    </row>
    <row r="7" spans="2:13" x14ac:dyDescent="0.2">
      <c r="B7" s="155" t="s">
        <v>118</v>
      </c>
      <c r="C7" s="155"/>
      <c r="D7" s="155"/>
      <c r="E7" s="155"/>
      <c r="F7" s="82">
        <f>Z_PNEC_Aquatic_Surrounding</f>
        <v>0.219</v>
      </c>
      <c r="H7" s="74"/>
      <c r="I7" s="74"/>
      <c r="J7" s="74"/>
      <c r="K7" s="74"/>
      <c r="L7" s="74"/>
    </row>
    <row r="8" spans="2:13" x14ac:dyDescent="0.2">
      <c r="B8" s="155" t="s">
        <v>119</v>
      </c>
      <c r="C8" s="155"/>
      <c r="D8" s="155"/>
      <c r="E8" s="155"/>
      <c r="F8" s="82">
        <f>Z_PNEC_Sediment_Surrounding</f>
        <v>4.5499999999999999E-2</v>
      </c>
      <c r="H8" s="74"/>
      <c r="I8" s="74"/>
      <c r="J8" s="74"/>
      <c r="K8" s="74"/>
      <c r="L8" s="74"/>
    </row>
    <row r="9" spans="2:13" x14ac:dyDescent="0.2">
      <c r="I9" s="74"/>
      <c r="J9" s="74"/>
      <c r="K9" s="74"/>
      <c r="L9" s="74"/>
    </row>
    <row r="10" spans="2:13" ht="15" x14ac:dyDescent="0.2">
      <c r="B10" s="144" t="s">
        <v>190</v>
      </c>
      <c r="C10" s="144"/>
      <c r="D10" s="144"/>
      <c r="E10" s="144"/>
      <c r="F10" s="144"/>
      <c r="G10" s="144"/>
      <c r="H10" s="144"/>
      <c r="I10" s="74"/>
      <c r="J10" s="74"/>
      <c r="K10" s="74"/>
      <c r="L10" s="74"/>
    </row>
    <row r="11" spans="2:13" ht="99.95" customHeight="1" x14ac:dyDescent="0.2">
      <c r="B11" s="80" t="s">
        <v>8</v>
      </c>
      <c r="C11" s="75" t="s">
        <v>108</v>
      </c>
      <c r="D11" s="80" t="s">
        <v>10</v>
      </c>
      <c r="E11" s="8" t="s">
        <v>122</v>
      </c>
      <c r="F11" s="8" t="s">
        <v>123</v>
      </c>
      <c r="G11" s="8" t="s">
        <v>124</v>
      </c>
      <c r="H11" s="8" t="s">
        <v>125</v>
      </c>
      <c r="I11" s="74"/>
      <c r="J11" s="74"/>
      <c r="K11" s="74"/>
      <c r="L11" s="74"/>
    </row>
    <row r="12" spans="2:13" ht="14.25" x14ac:dyDescent="0.2">
      <c r="B12" s="78" t="s">
        <v>172</v>
      </c>
      <c r="C12" s="91" t="s">
        <v>11</v>
      </c>
      <c r="D12" s="94" t="str">
        <f t="shared" ref="D12:D28" si="0">Substance</f>
        <v>Zineb and DIDT</v>
      </c>
      <c r="E12" s="68">
        <f>'Z+D_DE Marinas_Scenario_Cal'!E7</f>
        <v>27.658892446993285</v>
      </c>
      <c r="F12" s="68">
        <f>'Z+D_DE Marinas_Scenario_Cal'!F7</f>
        <v>4.2540249591711099</v>
      </c>
      <c r="G12" s="68">
        <f>'Z+D_DE Marinas_Scenario_Cal'!G7</f>
        <v>6.7085728786613315E-3</v>
      </c>
      <c r="H12" s="68">
        <f>'Z+D_DE Marinas_Scenario_Cal'!H7</f>
        <v>1.0315201664514826E-3</v>
      </c>
      <c r="I12" s="74"/>
      <c r="J12" s="74"/>
      <c r="K12" s="74"/>
      <c r="L12" s="74"/>
    </row>
    <row r="13" spans="2:13" ht="14.25" x14ac:dyDescent="0.2">
      <c r="B13" s="78" t="s">
        <v>173</v>
      </c>
      <c r="C13" s="91" t="s">
        <v>11</v>
      </c>
      <c r="D13" s="94" t="str">
        <f t="shared" si="0"/>
        <v>Zineb and DIDT</v>
      </c>
      <c r="E13" s="68">
        <f>'Z+D_DE Marinas_Scenario_Cal'!E8</f>
        <v>14.224497178964683</v>
      </c>
      <c r="F13" s="68">
        <f>'Z+D_DE Marinas_Scenario_Cal'!F8</f>
        <v>18.928928824060936</v>
      </c>
      <c r="G13" s="68">
        <f>'Z+D_DE Marinas_Scenario_Cal'!G8</f>
        <v>4.472946516121179E-3</v>
      </c>
      <c r="H13" s="68">
        <f>'Z+D_DE Marinas_Scenario_Cal'!H8</f>
        <v>5.9417994396120666E-3</v>
      </c>
      <c r="I13" s="74"/>
      <c r="J13" s="74"/>
      <c r="K13" s="74"/>
      <c r="L13" s="74"/>
    </row>
    <row r="14" spans="2:13" ht="14.25" x14ac:dyDescent="0.2">
      <c r="B14" s="78" t="s">
        <v>174</v>
      </c>
      <c r="C14" s="91" t="s">
        <v>11</v>
      </c>
      <c r="D14" s="94" t="str">
        <f t="shared" si="0"/>
        <v>Zineb and DIDT</v>
      </c>
      <c r="E14" s="68">
        <f>'Z+D_DE Marinas_Scenario_Cal'!E9</f>
        <v>28.503340030330254</v>
      </c>
      <c r="F14" s="68">
        <f>'Z+D_DE Marinas_Scenario_Cal'!F9</f>
        <v>75.071548232054454</v>
      </c>
      <c r="G14" s="68">
        <f>'Z+D_DE Marinas_Scenario_Cal'!G9</f>
        <v>1.0604654678151221E-2</v>
      </c>
      <c r="H14" s="68">
        <f>'Z+D_DE Marinas_Scenario_Cal'!H9</f>
        <v>2.7933721856710444E-2</v>
      </c>
      <c r="I14" s="74"/>
      <c r="J14" s="74"/>
      <c r="K14" s="74"/>
      <c r="L14" s="74"/>
    </row>
    <row r="15" spans="2:13" ht="14.25" x14ac:dyDescent="0.2">
      <c r="B15" s="78" t="s">
        <v>175</v>
      </c>
      <c r="C15" s="91" t="s">
        <v>11</v>
      </c>
      <c r="D15" s="94" t="str">
        <f t="shared" si="0"/>
        <v>Zineb and DIDT</v>
      </c>
      <c r="E15" s="68">
        <f>'Z+D_DE Marinas_Scenario_Cal'!E10</f>
        <v>6.4519261603761953</v>
      </c>
      <c r="F15" s="68">
        <f>'Z+D_DE Marinas_Scenario_Cal'!F10</f>
        <v>33.739398586708425</v>
      </c>
      <c r="G15" s="68">
        <f>'Z+D_DE Marinas_Scenario_Cal'!G10</f>
        <v>3.6108725000785027E-3</v>
      </c>
      <c r="H15" s="68">
        <f>'Z+D_DE Marinas_Scenario_Cal'!H10</f>
        <v>1.8884553935929933E-2</v>
      </c>
      <c r="I15" s="74"/>
      <c r="J15" s="74"/>
      <c r="K15" s="74"/>
      <c r="L15" s="74"/>
    </row>
    <row r="16" spans="2:13" ht="14.25" x14ac:dyDescent="0.2">
      <c r="B16" s="78" t="s">
        <v>176</v>
      </c>
      <c r="C16" s="91" t="s">
        <v>11</v>
      </c>
      <c r="D16" s="94" t="str">
        <f t="shared" si="0"/>
        <v>Zineb and DIDT</v>
      </c>
      <c r="E16" s="68">
        <f>'Z+D_DE Marinas_Scenario_Cal'!E11</f>
        <v>1.6869781102654231</v>
      </c>
      <c r="F16" s="68">
        <f>'Z+D_DE Marinas_Scenario_Cal'!F11</f>
        <v>8.438138522226474</v>
      </c>
      <c r="G16" s="68">
        <f>'Z+D_DE Marinas_Scenario_Cal'!G11</f>
        <v>7.2114595781828147E-4</v>
      </c>
      <c r="H16" s="68">
        <f>'Z+D_DE Marinas_Scenario_Cal'!H11</f>
        <v>3.6062796195252618E-3</v>
      </c>
      <c r="I16" s="74"/>
      <c r="J16" s="74"/>
      <c r="K16" s="74"/>
      <c r="L16" s="74"/>
    </row>
    <row r="17" spans="2:12" ht="14.25" x14ac:dyDescent="0.2">
      <c r="B17" s="78" t="s">
        <v>177</v>
      </c>
      <c r="C17" s="91" t="s">
        <v>11</v>
      </c>
      <c r="D17" s="94" t="str">
        <f t="shared" si="0"/>
        <v>Zineb and DIDT</v>
      </c>
      <c r="E17" s="68">
        <f>'Z+D_DE Marinas_Scenario_Cal'!E12</f>
        <v>4.2891187598917737</v>
      </c>
      <c r="F17" s="68">
        <f>'Z+D_DE Marinas_Scenario_Cal'!F12</f>
        <v>4.7026258849218552</v>
      </c>
      <c r="G17" s="68">
        <f>'Z+D_DE Marinas_Scenario_Cal'!G12</f>
        <v>3.8076109683670804E-3</v>
      </c>
      <c r="H17" s="68">
        <f>'Z+D_DE Marinas_Scenario_Cal'!H12</f>
        <v>4.173589480025647E-3</v>
      </c>
      <c r="I17" s="74"/>
      <c r="J17" s="74"/>
      <c r="K17" s="74"/>
      <c r="L17" s="74"/>
    </row>
    <row r="18" spans="2:12" ht="14.25" x14ac:dyDescent="0.2">
      <c r="B18" s="78" t="s">
        <v>178</v>
      </c>
      <c r="C18" s="91" t="s">
        <v>11</v>
      </c>
      <c r="D18" s="94" t="str">
        <f t="shared" si="0"/>
        <v>Zineb and DIDT</v>
      </c>
      <c r="E18" s="68">
        <f>'Z+D_DE Marinas_Scenario_Cal'!E13</f>
        <v>17.901233746853837</v>
      </c>
      <c r="F18" s="68">
        <f>'Z+D_DE Marinas_Scenario_Cal'!F13</f>
        <v>1.7996929231728593</v>
      </c>
      <c r="G18" s="68">
        <f>'Z+D_DE Marinas_Scenario_Cal'!G13</f>
        <v>1.2749693577207365E-2</v>
      </c>
      <c r="H18" s="68">
        <f>'Z+D_DE Marinas_Scenario_Cal'!H13</f>
        <v>1.2795515592017863E-3</v>
      </c>
      <c r="I18" s="74"/>
      <c r="J18" s="74"/>
      <c r="K18" s="74"/>
      <c r="L18" s="74"/>
    </row>
    <row r="19" spans="2:12" ht="14.25" x14ac:dyDescent="0.2">
      <c r="B19" s="78" t="s">
        <v>179</v>
      </c>
      <c r="C19" s="91" t="s">
        <v>11</v>
      </c>
      <c r="D19" s="94" t="str">
        <f t="shared" si="0"/>
        <v>Zineb and DIDT</v>
      </c>
      <c r="E19" s="68">
        <f>'Z+D_DE Marinas_Scenario_Cal'!E14</f>
        <v>29.623577090299467</v>
      </c>
      <c r="F19" s="68">
        <f>'Z+D_DE Marinas_Scenario_Cal'!F14</f>
        <v>2168.3323279492429</v>
      </c>
      <c r="G19" s="68">
        <f>'Z+D_DE Marinas_Scenario_Cal'!G14</f>
        <v>1.2442079718575364E-2</v>
      </c>
      <c r="H19" s="68">
        <f>'Z+D_DE Marinas_Scenario_Cal'!H14</f>
        <v>0.90960670779245911</v>
      </c>
      <c r="I19" s="74"/>
      <c r="J19" s="74"/>
      <c r="K19" s="74"/>
      <c r="L19" s="74"/>
    </row>
    <row r="20" spans="2:12" ht="14.25" x14ac:dyDescent="0.2">
      <c r="B20" s="78" t="s">
        <v>180</v>
      </c>
      <c r="C20" s="91" t="s">
        <v>11</v>
      </c>
      <c r="D20" s="94" t="str">
        <f t="shared" si="0"/>
        <v>Zineb and DIDT</v>
      </c>
      <c r="E20" s="68">
        <f>'Z+D_DE Marinas_Scenario_Cal'!E15</f>
        <v>5.9531774047971426</v>
      </c>
      <c r="F20" s="68">
        <f>'Z+D_DE Marinas_Scenario_Cal'!F15</f>
        <v>4.9149796516638578</v>
      </c>
      <c r="G20" s="68">
        <f>'Z+D_DE Marinas_Scenario_Cal'!G15</f>
        <v>1.4446139945456E-2</v>
      </c>
      <c r="H20" s="68">
        <f>'Z+D_DE Marinas_Scenario_Cal'!H15</f>
        <v>1.1926338034566513E-2</v>
      </c>
      <c r="I20" s="74"/>
      <c r="J20" s="74"/>
      <c r="K20" s="74"/>
      <c r="L20" s="74"/>
    </row>
    <row r="21" spans="2:12" ht="15" customHeight="1" x14ac:dyDescent="0.2">
      <c r="B21" s="78" t="s">
        <v>181</v>
      </c>
      <c r="C21" s="91" t="s">
        <v>11</v>
      </c>
      <c r="D21" s="94" t="str">
        <f t="shared" si="0"/>
        <v>Zineb and DIDT</v>
      </c>
      <c r="E21" s="68">
        <f>'Z+D_DE Marinas_Scenario_Cal'!E16</f>
        <v>0.45028116062843632</v>
      </c>
      <c r="F21" s="68">
        <f>'Z+D_DE Marinas_Scenario_Cal'!F16</f>
        <v>5.6008180820507049E-2</v>
      </c>
      <c r="G21" s="68">
        <f>'Z+D_DE Marinas_Scenario_Cal'!G16</f>
        <v>4.6856152664563632E-4</v>
      </c>
      <c r="H21" s="68">
        <f>'Z+D_DE Marinas_Scenario_Cal'!H16</f>
        <v>5.8113189399323316E-5</v>
      </c>
      <c r="I21" s="74"/>
      <c r="J21" s="74"/>
      <c r="K21" s="74"/>
      <c r="L21" s="74"/>
    </row>
    <row r="22" spans="2:12" ht="15" customHeight="1" x14ac:dyDescent="0.2">
      <c r="B22" s="78" t="s">
        <v>182</v>
      </c>
      <c r="C22" s="91" t="s">
        <v>11</v>
      </c>
      <c r="D22" s="94" t="str">
        <f t="shared" si="0"/>
        <v>Zineb and DIDT</v>
      </c>
      <c r="E22" s="68">
        <f>'Z+D_DE Marinas_Scenario_Cal'!E17</f>
        <v>42.97071139407651</v>
      </c>
      <c r="F22" s="68">
        <f>'Z+D_DE Marinas_Scenario_Cal'!F17</f>
        <v>47.532622586876606</v>
      </c>
      <c r="G22" s="68">
        <f>'Z+D_DE Marinas_Scenario_Cal'!G17</f>
        <v>1.9330146602928321E-2</v>
      </c>
      <c r="H22" s="68">
        <f>'Z+D_DE Marinas_Scenario_Cal'!H17</f>
        <v>2.1375935703883429E-2</v>
      </c>
      <c r="I22" s="74"/>
      <c r="J22" s="74"/>
      <c r="K22" s="74"/>
      <c r="L22" s="74"/>
    </row>
    <row r="23" spans="2:12" ht="15" customHeight="1" x14ac:dyDescent="0.2">
      <c r="B23" s="78" t="s">
        <v>183</v>
      </c>
      <c r="C23" s="91" t="s">
        <v>11</v>
      </c>
      <c r="D23" s="94" t="str">
        <f t="shared" si="0"/>
        <v>Zineb and DIDT</v>
      </c>
      <c r="E23" s="68">
        <f>'Z+D_DE Marinas_Scenario_Cal'!E18</f>
        <v>45.297207063250951</v>
      </c>
      <c r="F23" s="68">
        <f>'Z+D_DE Marinas_Scenario_Cal'!F18</f>
        <v>21.52934728673231</v>
      </c>
      <c r="G23" s="68">
        <f>'Z+D_DE Marinas_Scenario_Cal'!G18</f>
        <v>2.8669568310433227E-2</v>
      </c>
      <c r="H23" s="68">
        <f>'Z+D_DE Marinas_Scenario_Cal'!H18</f>
        <v>1.3610886901207193E-2</v>
      </c>
      <c r="I23" s="74"/>
      <c r="J23" s="74"/>
      <c r="K23" s="74"/>
      <c r="L23" s="74"/>
    </row>
    <row r="24" spans="2:12" ht="15" customHeight="1" x14ac:dyDescent="0.2">
      <c r="B24" s="78" t="s">
        <v>184</v>
      </c>
      <c r="C24" s="91" t="s">
        <v>11</v>
      </c>
      <c r="D24" s="94" t="str">
        <f t="shared" si="0"/>
        <v>Zineb and DIDT</v>
      </c>
      <c r="E24" s="68">
        <f>'Z+D_DE Marinas_Scenario_Cal'!E19</f>
        <v>13.295427357548338</v>
      </c>
      <c r="F24" s="68">
        <f>'Z+D_DE Marinas_Scenario_Cal'!F19</f>
        <v>21.705584049878773</v>
      </c>
      <c r="G24" s="68">
        <f>'Z+D_DE Marinas_Scenario_Cal'!G19</f>
        <v>6.4204119871689161E-3</v>
      </c>
      <c r="H24" s="68">
        <f>'Z+D_DE Marinas_Scenario_Cal'!H19</f>
        <v>1.0451205243498712E-2</v>
      </c>
      <c r="I24" s="74"/>
      <c r="J24" s="74"/>
      <c r="K24" s="74"/>
      <c r="L24" s="74"/>
    </row>
    <row r="25" spans="2:12" ht="15" customHeight="1" x14ac:dyDescent="0.2">
      <c r="B25" s="78" t="s">
        <v>185</v>
      </c>
      <c r="C25" s="91" t="s">
        <v>11</v>
      </c>
      <c r="D25" s="94" t="str">
        <f t="shared" si="0"/>
        <v>Zineb and DIDT</v>
      </c>
      <c r="E25" s="68">
        <f>'Z+D_DE Marinas_Scenario_Cal'!E20</f>
        <v>8.7221548916865856</v>
      </c>
      <c r="F25" s="68">
        <f>'Z+D_DE Marinas_Scenario_Cal'!F20</f>
        <v>0.50665326265754584</v>
      </c>
      <c r="G25" s="68">
        <f>'Z+D_DE Marinas_Scenario_Cal'!G20</f>
        <v>1.7914320304771244E-3</v>
      </c>
      <c r="H25" s="68">
        <f>'Z+D_DE Marinas_Scenario_Cal'!H20</f>
        <v>1.038834902348047E-4</v>
      </c>
      <c r="I25" s="74"/>
      <c r="J25" s="74"/>
      <c r="K25" s="74"/>
      <c r="L25" s="74"/>
    </row>
    <row r="26" spans="2:12" ht="15" customHeight="1" x14ac:dyDescent="0.2">
      <c r="B26" s="78" t="s">
        <v>186</v>
      </c>
      <c r="C26" s="91" t="s">
        <v>11</v>
      </c>
      <c r="D26" s="94" t="str">
        <f t="shared" si="0"/>
        <v>Zineb and DIDT</v>
      </c>
      <c r="E26" s="68">
        <f>'Z+D_DE Marinas_Scenario_Cal'!E21</f>
        <v>61.006027265098801</v>
      </c>
      <c r="F26" s="68">
        <f>'Z+D_DE Marinas_Scenario_Cal'!F21</f>
        <v>8.9315411365247304</v>
      </c>
      <c r="G26" s="68">
        <f>'Z+D_DE Marinas_Scenario_Cal'!G21</f>
        <v>4.5756847863975955E-3</v>
      </c>
      <c r="H26" s="68">
        <f>'Z+D_DE Marinas_Scenario_Cal'!H21</f>
        <v>6.6907042466786643E-4</v>
      </c>
      <c r="I26" s="74"/>
      <c r="J26" s="74"/>
      <c r="K26" s="74"/>
      <c r="L26" s="74"/>
    </row>
    <row r="27" spans="2:12" ht="15" customHeight="1" x14ac:dyDescent="0.2">
      <c r="B27" s="78" t="s">
        <v>187</v>
      </c>
      <c r="C27" s="91" t="s">
        <v>11</v>
      </c>
      <c r="D27" s="94" t="str">
        <f t="shared" si="0"/>
        <v>Zineb and DIDT</v>
      </c>
      <c r="E27" s="68">
        <f>'Z+D_DE Marinas_Scenario_Cal'!E22</f>
        <v>60.443418813644882</v>
      </c>
      <c r="F27" s="68">
        <f>'Z+D_DE Marinas_Scenario_Cal'!F22</f>
        <v>33.465708252763797</v>
      </c>
      <c r="G27" s="68">
        <f>'Z+D_DE Marinas_Scenario_Cal'!G22</f>
        <v>6.1560204767025879E-3</v>
      </c>
      <c r="H27" s="68">
        <f>'Z+D_DE Marinas_Scenario_Cal'!H22</f>
        <v>3.4058358494212606E-3</v>
      </c>
      <c r="I27" s="74"/>
      <c r="J27" s="74"/>
      <c r="K27" s="74"/>
      <c r="L27" s="74"/>
    </row>
    <row r="28" spans="2:12" ht="15" customHeight="1" x14ac:dyDescent="0.2">
      <c r="B28" s="78" t="s">
        <v>188</v>
      </c>
      <c r="C28" s="91" t="s">
        <v>11</v>
      </c>
      <c r="D28" s="94" t="str">
        <f t="shared" si="0"/>
        <v>Zineb and DIDT</v>
      </c>
      <c r="E28" s="68">
        <f>'Z+D_DE Marinas_Scenario_Cal'!E23</f>
        <v>12.014134466596941</v>
      </c>
      <c r="F28" s="68">
        <f>'Z+D_DE Marinas_Scenario_Cal'!F23</f>
        <v>12.556818469726906</v>
      </c>
      <c r="G28" s="68">
        <f>'Z+D_DE Marinas_Scenario_Cal'!G23</f>
        <v>1.8464610055261708E-2</v>
      </c>
      <c r="H28" s="68">
        <f>'Z+D_DE Marinas_Scenario_Cal'!H23</f>
        <v>1.9257293819146142E-2</v>
      </c>
      <c r="I28" s="74"/>
      <c r="J28" s="74"/>
      <c r="K28" s="74"/>
      <c r="L28" s="74"/>
    </row>
    <row r="29" spans="2:12" ht="14.25" x14ac:dyDescent="0.2">
      <c r="B29" s="152" t="s">
        <v>160</v>
      </c>
      <c r="C29" s="152"/>
      <c r="D29" s="152"/>
      <c r="E29" s="68">
        <f>'Z+D_DE Marinas_Scenario_Cal'!E24</f>
        <v>14.224497178964683</v>
      </c>
      <c r="F29" s="68">
        <f>'Z+D_DE Marinas_Scenario_Cal'!F24</f>
        <v>12.556818469726906</v>
      </c>
      <c r="G29" s="68">
        <f>'Z+D_DE Marinas_Scenario_Cal'!G24</f>
        <v>6.4204119871689161E-3</v>
      </c>
      <c r="H29" s="68">
        <f>'Z+D_DE Marinas_Scenario_Cal'!H24</f>
        <v>5.9417994396120666E-3</v>
      </c>
      <c r="I29" s="74"/>
      <c r="J29" s="74"/>
      <c r="K29" s="74"/>
      <c r="L29" s="74"/>
    </row>
    <row r="30" spans="2:12" ht="14.25" x14ac:dyDescent="0.2">
      <c r="B30" s="152" t="s">
        <v>159</v>
      </c>
      <c r="C30" s="152"/>
      <c r="D30" s="152"/>
      <c r="E30" s="68">
        <f>'Z+D_DE Marinas_Scenario_Cal'!E25</f>
        <v>22.381888431841382</v>
      </c>
      <c r="F30" s="68">
        <f>'Z+D_DE Marinas_Scenario_Cal'!F25</f>
        <v>145.08623227995318</v>
      </c>
      <c r="G30" s="68">
        <f>'Z+D_DE Marinas_Scenario_Cal'!G25</f>
        <v>9.1435383833206717E-3</v>
      </c>
      <c r="H30" s="68">
        <f>'Z+D_DE Marinas_Scenario_Cal'!H25</f>
        <v>6.1959781559173005E-2</v>
      </c>
      <c r="I30" s="74"/>
      <c r="J30" s="74"/>
      <c r="K30" s="74"/>
      <c r="L30" s="74"/>
    </row>
    <row r="31" spans="2:12" ht="14.25" x14ac:dyDescent="0.2">
      <c r="B31" s="152" t="s">
        <v>12</v>
      </c>
      <c r="C31" s="152"/>
      <c r="D31" s="152"/>
      <c r="E31" s="68">
        <f>'Z+D_DE Marinas_Scenario_Cal'!E26</f>
        <v>61.006027265098801</v>
      </c>
      <c r="F31" s="68">
        <f>'Z+D_DE Marinas_Scenario_Cal'!F26</f>
        <v>2168.3323279492429</v>
      </c>
      <c r="G31" s="68">
        <f>'Z+D_DE Marinas_Scenario_Cal'!G26</f>
        <v>2.8669568310433227E-2</v>
      </c>
      <c r="H31" s="68">
        <f>'Z+D_DE Marinas_Scenario_Cal'!H26</f>
        <v>0.90960670779245911</v>
      </c>
      <c r="I31" s="74"/>
      <c r="J31" s="74"/>
      <c r="K31" s="74"/>
      <c r="L31" s="74"/>
    </row>
    <row r="32" spans="2:12" ht="14.25" x14ac:dyDescent="0.2">
      <c r="B32" s="152" t="s">
        <v>13</v>
      </c>
      <c r="C32" s="152"/>
      <c r="D32" s="152"/>
      <c r="E32" s="68">
        <f>'Z+D_DE Marinas_Scenario_Cal'!E27</f>
        <v>0.45028116062843632</v>
      </c>
      <c r="F32" s="68">
        <f>'Z+D_DE Marinas_Scenario_Cal'!F27</f>
        <v>5.6008180820507049E-2</v>
      </c>
      <c r="G32" s="68">
        <f>'Z+D_DE Marinas_Scenario_Cal'!G27</f>
        <v>4.6856152664563632E-4</v>
      </c>
      <c r="H32" s="68">
        <f>'Z+D_DE Marinas_Scenario_Cal'!H27</f>
        <v>5.8113189399323316E-5</v>
      </c>
      <c r="I32" s="74"/>
      <c r="J32" s="74"/>
      <c r="K32" s="74"/>
      <c r="L32" s="74"/>
    </row>
    <row r="33" spans="2:14" x14ac:dyDescent="0.2">
      <c r="C33" s="1"/>
      <c r="I33" s="74"/>
      <c r="J33" s="74"/>
      <c r="K33" s="74"/>
      <c r="L33" s="74"/>
    </row>
    <row r="34" spans="2:14" x14ac:dyDescent="0.2">
      <c r="B34" s="74"/>
      <c r="C34" s="98"/>
      <c r="D34" s="74"/>
      <c r="E34" s="74"/>
      <c r="F34" s="74"/>
      <c r="G34" s="74"/>
      <c r="H34" s="74"/>
      <c r="I34" s="74"/>
      <c r="J34" s="74"/>
      <c r="K34" s="74"/>
      <c r="L34" s="74"/>
    </row>
    <row r="35" spans="2:14" x14ac:dyDescent="0.2">
      <c r="B35" s="60"/>
      <c r="C35" s="100"/>
      <c r="D35" s="61"/>
      <c r="E35" s="62"/>
      <c r="F35" s="62"/>
      <c r="G35" s="62"/>
      <c r="H35" s="62"/>
      <c r="I35" s="74"/>
      <c r="J35" s="74"/>
      <c r="K35" s="74"/>
      <c r="L35" s="74"/>
      <c r="M35" s="10"/>
      <c r="N35" s="10"/>
    </row>
    <row r="36" spans="2:14" x14ac:dyDescent="0.2">
      <c r="B36" s="60"/>
      <c r="C36" s="100"/>
      <c r="D36" s="61"/>
      <c r="E36" s="62"/>
      <c r="F36" s="62"/>
      <c r="G36" s="62"/>
      <c r="H36" s="62"/>
      <c r="I36" s="74"/>
      <c r="J36" s="74"/>
      <c r="K36" s="74"/>
      <c r="L36" s="74"/>
      <c r="M36" s="10"/>
      <c r="N36" s="10"/>
    </row>
    <row r="37" spans="2:14" x14ac:dyDescent="0.2">
      <c r="B37" s="60"/>
      <c r="C37" s="100"/>
      <c r="D37" s="61"/>
      <c r="E37" s="62"/>
      <c r="F37" s="62"/>
      <c r="G37" s="62"/>
      <c r="H37" s="62"/>
      <c r="I37" s="74"/>
      <c r="J37" s="74"/>
      <c r="K37" s="74"/>
      <c r="L37" s="74"/>
      <c r="M37" s="10"/>
      <c r="N37" s="10"/>
    </row>
    <row r="38" spans="2:14" x14ac:dyDescent="0.2">
      <c r="B38" s="60"/>
      <c r="C38" s="100"/>
      <c r="D38" s="61"/>
      <c r="E38" s="62"/>
      <c r="F38" s="62"/>
      <c r="G38" s="62"/>
      <c r="H38" s="62"/>
      <c r="I38" s="74"/>
      <c r="J38" s="74"/>
      <c r="K38" s="74"/>
      <c r="L38" s="74"/>
      <c r="M38" s="10"/>
      <c r="N38" s="10"/>
    </row>
    <row r="39" spans="2:14" x14ac:dyDescent="0.2">
      <c r="B39" s="60"/>
      <c r="C39" s="100"/>
      <c r="D39" s="61"/>
      <c r="E39" s="62"/>
      <c r="F39" s="62"/>
      <c r="G39" s="62"/>
      <c r="H39" s="62"/>
      <c r="I39" s="74"/>
      <c r="J39" s="74"/>
      <c r="K39" s="74"/>
      <c r="L39" s="74"/>
      <c r="M39" s="10"/>
      <c r="N39" s="10"/>
    </row>
    <row r="40" spans="2:14" x14ac:dyDescent="0.2">
      <c r="B40" s="60"/>
      <c r="C40" s="100"/>
      <c r="D40" s="61"/>
      <c r="E40" s="62"/>
      <c r="F40" s="62"/>
      <c r="G40" s="62"/>
      <c r="H40" s="62"/>
      <c r="I40" s="74"/>
      <c r="J40" s="74"/>
      <c r="K40" s="74"/>
      <c r="L40" s="74"/>
      <c r="M40" s="10"/>
      <c r="N40" s="10"/>
    </row>
    <row r="41" spans="2:14" x14ac:dyDescent="0.2">
      <c r="B41" s="60"/>
      <c r="C41" s="100"/>
      <c r="D41" s="61"/>
      <c r="E41" s="62"/>
      <c r="F41" s="62"/>
      <c r="G41" s="62"/>
      <c r="H41" s="62"/>
      <c r="I41" s="74"/>
      <c r="J41" s="74"/>
      <c r="K41" s="74"/>
      <c r="L41" s="74"/>
      <c r="M41" s="10"/>
      <c r="N41" s="10"/>
    </row>
    <row r="42" spans="2:14" x14ac:dyDescent="0.2">
      <c r="B42" s="60"/>
      <c r="C42" s="100"/>
      <c r="D42" s="61"/>
      <c r="E42" s="62"/>
      <c r="F42" s="62"/>
      <c r="G42" s="62"/>
      <c r="H42" s="62"/>
      <c r="I42" s="74"/>
      <c r="J42" s="74"/>
      <c r="K42" s="74"/>
      <c r="L42" s="74"/>
      <c r="M42" s="10"/>
      <c r="N42" s="10"/>
    </row>
    <row r="43" spans="2:14" x14ac:dyDescent="0.2">
      <c r="B43" s="60"/>
      <c r="C43" s="100"/>
      <c r="D43" s="61"/>
      <c r="E43" s="62"/>
      <c r="F43" s="62"/>
      <c r="G43" s="62"/>
      <c r="H43" s="62"/>
      <c r="I43" s="74"/>
      <c r="J43" s="74"/>
      <c r="K43" s="74"/>
      <c r="L43" s="74"/>
      <c r="M43" s="10"/>
      <c r="N43" s="10"/>
    </row>
    <row r="44" spans="2:14" x14ac:dyDescent="0.2">
      <c r="B44" s="60"/>
      <c r="C44" s="100"/>
      <c r="D44" s="61"/>
      <c r="E44" s="62"/>
      <c r="F44" s="62"/>
      <c r="G44" s="62"/>
      <c r="H44" s="62"/>
      <c r="I44" s="74"/>
      <c r="J44" s="74"/>
      <c r="K44" s="74"/>
      <c r="L44" s="74"/>
      <c r="M44" s="10"/>
      <c r="N44" s="10"/>
    </row>
    <row r="45" spans="2:14" x14ac:dyDescent="0.2">
      <c r="B45" s="60"/>
      <c r="C45" s="100"/>
      <c r="D45" s="61"/>
      <c r="E45" s="62"/>
      <c r="F45" s="62"/>
      <c r="G45" s="62"/>
      <c r="H45" s="62"/>
      <c r="I45" s="60"/>
      <c r="J45" s="60"/>
      <c r="K45" s="60"/>
      <c r="L45" s="60"/>
      <c r="M45" s="10"/>
      <c r="N45" s="10"/>
    </row>
    <row r="46" spans="2:14" x14ac:dyDescent="0.2">
      <c r="B46" s="60"/>
      <c r="C46" s="100"/>
      <c r="D46" s="61"/>
      <c r="E46" s="62"/>
      <c r="F46" s="62"/>
      <c r="G46" s="62"/>
      <c r="H46" s="62"/>
      <c r="I46" s="60"/>
      <c r="J46" s="60"/>
      <c r="K46" s="60"/>
      <c r="L46" s="60"/>
      <c r="M46" s="10"/>
      <c r="N46" s="10"/>
    </row>
    <row r="47" spans="2:14" x14ac:dyDescent="0.2">
      <c r="B47" s="60"/>
      <c r="C47" s="100"/>
      <c r="D47" s="61"/>
      <c r="E47" s="62"/>
      <c r="F47" s="62"/>
      <c r="G47" s="62"/>
      <c r="H47" s="62"/>
      <c r="I47" s="60"/>
      <c r="J47" s="60"/>
      <c r="K47" s="60"/>
      <c r="L47" s="60"/>
      <c r="M47" s="10"/>
      <c r="N47" s="10"/>
    </row>
    <row r="48" spans="2:14" x14ac:dyDescent="0.2">
      <c r="B48" s="60"/>
      <c r="C48" s="100"/>
      <c r="D48" s="61"/>
      <c r="E48" s="62"/>
      <c r="F48" s="62"/>
      <c r="G48" s="62"/>
      <c r="H48" s="62"/>
      <c r="I48" s="60"/>
      <c r="J48" s="60"/>
      <c r="K48" s="60"/>
      <c r="L48" s="60"/>
      <c r="M48" s="10"/>
      <c r="N48" s="10"/>
    </row>
    <row r="49" spans="2:14" x14ac:dyDescent="0.2">
      <c r="B49" s="60"/>
      <c r="C49" s="100"/>
      <c r="D49" s="61"/>
      <c r="E49" s="62"/>
      <c r="F49" s="62"/>
      <c r="G49" s="62"/>
      <c r="H49" s="62"/>
      <c r="I49" s="60"/>
      <c r="J49" s="60"/>
      <c r="K49" s="60"/>
      <c r="L49" s="60"/>
      <c r="M49" s="10"/>
      <c r="N49" s="10"/>
    </row>
    <row r="50" spans="2:14" x14ac:dyDescent="0.2">
      <c r="B50" s="10"/>
      <c r="C50" s="101"/>
      <c r="D50" s="10"/>
      <c r="E50" s="10"/>
      <c r="F50" s="10"/>
      <c r="G50" s="10"/>
      <c r="H50" s="10"/>
      <c r="I50" s="10"/>
      <c r="J50" s="10"/>
      <c r="K50" s="10"/>
      <c r="L50" s="10"/>
      <c r="M50" s="10"/>
      <c r="N50" s="10"/>
    </row>
    <row r="51" spans="2:14" x14ac:dyDescent="0.2">
      <c r="B51" s="10"/>
      <c r="C51" s="101"/>
      <c r="D51" s="10"/>
      <c r="E51" s="10"/>
      <c r="F51" s="10"/>
      <c r="G51" s="10"/>
      <c r="H51" s="10"/>
      <c r="I51" s="10"/>
      <c r="J51" s="10"/>
      <c r="K51" s="10"/>
      <c r="L51" s="10"/>
      <c r="M51" s="10"/>
      <c r="N51" s="10"/>
    </row>
  </sheetData>
  <mergeCells count="11">
    <mergeCell ref="B10:H10"/>
    <mergeCell ref="B30:D30"/>
    <mergeCell ref="B31:D31"/>
    <mergeCell ref="B32:D32"/>
    <mergeCell ref="B2:M2"/>
    <mergeCell ref="B4:F4"/>
    <mergeCell ref="B5:E5"/>
    <mergeCell ref="B6:E6"/>
    <mergeCell ref="B7:E7"/>
    <mergeCell ref="B8:E8"/>
    <mergeCell ref="B29:D29"/>
  </mergeCells>
  <conditionalFormatting sqref="E12:H28 E30:H32">
    <cfRule type="cellIs" dxfId="17" priority="4" operator="lessThan">
      <formula>1</formula>
    </cfRule>
    <cfRule type="cellIs" dxfId="16" priority="5" operator="greaterThan">
      <formula>1</formula>
    </cfRule>
    <cfRule type="cellIs" dxfId="15" priority="6" operator="equal">
      <formula>1</formula>
    </cfRule>
  </conditionalFormatting>
  <conditionalFormatting sqref="E29:H29">
    <cfRule type="cellIs" dxfId="14" priority="1" operator="lessThan">
      <formula>1</formula>
    </cfRule>
    <cfRule type="cellIs" dxfId="13" priority="2" operator="greaterThan">
      <formula>1</formula>
    </cfRule>
    <cfRule type="cellIs" dxfId="12" priority="3" operator="equal">
      <formula>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B2:N50"/>
  <sheetViews>
    <sheetView zoomScale="90" zoomScaleNormal="90" workbookViewId="0">
      <selection activeCell="G23" sqref="G22:G23"/>
    </sheetView>
  </sheetViews>
  <sheetFormatPr baseColWidth="10" defaultColWidth="9" defaultRowHeight="12.75" x14ac:dyDescent="0.2"/>
  <cols>
    <col min="1" max="1" width="9" style="1"/>
    <col min="2" max="2" width="22.625" style="1" customWidth="1"/>
    <col min="3" max="3" width="4" style="1" bestFit="1" customWidth="1"/>
    <col min="4" max="4" width="25.625" style="1" customWidth="1"/>
    <col min="5" max="12" width="11.625" style="1" customWidth="1"/>
    <col min="13" max="16384" width="9" style="1"/>
  </cols>
  <sheetData>
    <row r="2" spans="2:13" ht="21" thickBot="1" x14ac:dyDescent="0.35">
      <c r="B2" s="153" t="s">
        <v>90</v>
      </c>
      <c r="C2" s="153"/>
      <c r="D2" s="153"/>
      <c r="E2" s="153"/>
      <c r="F2" s="153"/>
      <c r="G2" s="153"/>
      <c r="H2" s="153"/>
      <c r="I2" s="153"/>
      <c r="J2" s="153"/>
      <c r="K2" s="153"/>
      <c r="L2" s="153"/>
      <c r="M2" s="153"/>
    </row>
    <row r="3" spans="2:13" ht="13.5" thickTop="1" x14ac:dyDescent="0.2">
      <c r="B3" s="113" t="str">
        <f>Tooltype</f>
        <v>Calculator tool for the German scenario for inland water marinas</v>
      </c>
      <c r="C3" s="113"/>
      <c r="D3" s="113"/>
      <c r="E3" s="74"/>
      <c r="F3" s="74"/>
      <c r="G3" s="74"/>
      <c r="H3" s="74"/>
      <c r="I3" s="74"/>
      <c r="J3" s="74"/>
      <c r="K3" s="74"/>
      <c r="L3" s="74"/>
    </row>
    <row r="4" spans="2:13" ht="15" x14ac:dyDescent="0.2">
      <c r="B4" s="154" t="s">
        <v>80</v>
      </c>
      <c r="C4" s="154"/>
      <c r="D4" s="154"/>
      <c r="E4" s="154"/>
      <c r="F4" s="154"/>
      <c r="G4" s="74"/>
      <c r="H4" s="74"/>
      <c r="I4" s="74"/>
      <c r="J4" s="74"/>
      <c r="K4" s="74"/>
      <c r="L4" s="74"/>
    </row>
    <row r="5" spans="2:13" x14ac:dyDescent="0.2">
      <c r="B5" s="155" t="s">
        <v>116</v>
      </c>
      <c r="C5" s="155"/>
      <c r="D5" s="155"/>
      <c r="E5" s="155"/>
      <c r="F5" s="82">
        <f>Z_PNEC_Aquatic_Inside</f>
        <v>0.219</v>
      </c>
      <c r="H5" s="74"/>
      <c r="I5" s="74"/>
      <c r="J5" s="74"/>
      <c r="K5" s="74"/>
      <c r="L5" s="74"/>
    </row>
    <row r="6" spans="2:13" x14ac:dyDescent="0.2">
      <c r="B6" s="155" t="s">
        <v>117</v>
      </c>
      <c r="C6" s="155"/>
      <c r="D6" s="155"/>
      <c r="E6" s="155"/>
      <c r="F6" s="82">
        <f>Z_PNEC_Sediment_Inside</f>
        <v>4.5499999999999999E-2</v>
      </c>
      <c r="H6" s="74"/>
      <c r="I6" s="74"/>
      <c r="J6" s="74"/>
      <c r="K6" s="74"/>
      <c r="L6" s="74"/>
    </row>
    <row r="7" spans="2:13" x14ac:dyDescent="0.2">
      <c r="B7" s="155" t="s">
        <v>118</v>
      </c>
      <c r="C7" s="155"/>
      <c r="D7" s="155"/>
      <c r="E7" s="155"/>
      <c r="F7" s="82">
        <f>Z_PNEC_Aquatic_Surrounding</f>
        <v>0.219</v>
      </c>
      <c r="H7" s="74"/>
      <c r="I7" s="74"/>
      <c r="J7" s="74"/>
      <c r="K7" s="74"/>
      <c r="L7" s="74"/>
    </row>
    <row r="8" spans="2:13" x14ac:dyDescent="0.2">
      <c r="B8" s="155" t="s">
        <v>119</v>
      </c>
      <c r="C8" s="155"/>
      <c r="D8" s="155"/>
      <c r="E8" s="155"/>
      <c r="F8" s="82">
        <f>Z_PNEC_Sediment_Surrounding</f>
        <v>4.5499999999999999E-2</v>
      </c>
      <c r="H8" s="74"/>
      <c r="I8" s="74"/>
      <c r="J8" s="74"/>
      <c r="K8" s="74"/>
      <c r="L8" s="74"/>
    </row>
    <row r="10" spans="2:13" ht="15" x14ac:dyDescent="0.2">
      <c r="B10" s="144" t="s">
        <v>190</v>
      </c>
      <c r="C10" s="144"/>
      <c r="D10" s="144"/>
      <c r="E10" s="144"/>
      <c r="F10" s="144"/>
      <c r="G10" s="144"/>
      <c r="H10" s="144"/>
      <c r="I10" s="144"/>
      <c r="J10" s="144"/>
      <c r="K10" s="144"/>
      <c r="L10" s="144"/>
    </row>
    <row r="11" spans="2:13" ht="99.95" customHeight="1" x14ac:dyDescent="0.2">
      <c r="B11" s="80" t="s">
        <v>8</v>
      </c>
      <c r="C11" s="75" t="s">
        <v>108</v>
      </c>
      <c r="D11" s="80" t="s">
        <v>10</v>
      </c>
      <c r="E11" s="8" t="s">
        <v>70</v>
      </c>
      <c r="F11" s="8" t="s">
        <v>120</v>
      </c>
      <c r="G11" s="8" t="s">
        <v>71</v>
      </c>
      <c r="H11" s="8" t="s">
        <v>121</v>
      </c>
      <c r="I11" s="8" t="s">
        <v>122</v>
      </c>
      <c r="J11" s="8" t="s">
        <v>123</v>
      </c>
      <c r="K11" s="8" t="s">
        <v>124</v>
      </c>
      <c r="L11" s="8" t="s">
        <v>125</v>
      </c>
    </row>
    <row r="12" spans="2:13" ht="14.25" x14ac:dyDescent="0.2">
      <c r="B12" s="78" t="s">
        <v>172</v>
      </c>
      <c r="C12" s="91" t="s">
        <v>11</v>
      </c>
      <c r="D12" s="81" t="str">
        <f t="shared" ref="D12:D28" si="0">Z_Compound_Name</f>
        <v>Zineb</v>
      </c>
      <c r="E12" s="68">
        <f>'Z_De Marinas_Scenario_Calc'!J21</f>
        <v>1.8833278977958244E-2</v>
      </c>
      <c r="F12" s="68">
        <f>'Z_De Marinas_Scenario_Calc'!K21</f>
        <v>5.5391996830826175E-4</v>
      </c>
      <c r="G12" s="68">
        <f>'Z_De Marinas_Scenario_Calc'!L21</f>
        <v>9.5540508517243769E-6</v>
      </c>
      <c r="H12" s="68">
        <f>'Z_De Marinas_Scenario_Calc'!M21</f>
        <v>2.8100149578833712E-7</v>
      </c>
      <c r="I12" s="68">
        <f>'Z_De Marinas_Scenario_Calc'!R21</f>
        <v>8.5996707661909796E-2</v>
      </c>
      <c r="J12" s="68">
        <f>'Z_De Marinas_Scenario_Calc'!S21</f>
        <v>1.2174065237544215E-2</v>
      </c>
      <c r="K12" s="68">
        <f>'Z_De Marinas_Scenario_Calc'!T21</f>
        <v>4.3625802975910396E-5</v>
      </c>
      <c r="L12" s="68">
        <f>'Z_De Marinas_Scenario_Calc'!U21</f>
        <v>6.1758570502931237E-6</v>
      </c>
    </row>
    <row r="13" spans="2:13" ht="14.25" x14ac:dyDescent="0.2">
      <c r="B13" s="78" t="s">
        <v>173</v>
      </c>
      <c r="C13" s="91" t="s">
        <v>11</v>
      </c>
      <c r="D13" s="81" t="str">
        <f t="shared" si="0"/>
        <v>Zineb</v>
      </c>
      <c r="E13" s="68">
        <f>'Z_De Marinas_Scenario_Calc'!J22</f>
        <v>2.0503402290155886E-2</v>
      </c>
      <c r="F13" s="68">
        <f>'Z_De Marinas_Scenario_Calc'!K22</f>
        <v>5.219047750622422E-3</v>
      </c>
      <c r="G13" s="68">
        <f>'Z_De Marinas_Scenario_Calc'!L22</f>
        <v>2.8034164580974987E-5</v>
      </c>
      <c r="H13" s="68">
        <f>'Z_De Marinas_Scenario_Calc'!M22</f>
        <v>7.1359690071544157E-6</v>
      </c>
      <c r="I13" s="68">
        <f>'Z_De Marinas_Scenario_Calc'!R22</f>
        <v>9.3622841507561116E-2</v>
      </c>
      <c r="J13" s="68">
        <f>'Z_De Marinas_Scenario_Calc'!S22</f>
        <v>0.11470434616752576</v>
      </c>
      <c r="K13" s="68">
        <f>'Z_De Marinas_Scenario_Calc'!T22</f>
        <v>1.2800988393139263E-4</v>
      </c>
      <c r="L13" s="68">
        <f>'Z_De Marinas_Scenario_Calc'!U22</f>
        <v>1.5683448367372342E-4</v>
      </c>
    </row>
    <row r="14" spans="2:13" ht="14.25" x14ac:dyDescent="0.2">
      <c r="B14" s="78" t="s">
        <v>174</v>
      </c>
      <c r="C14" s="91" t="s">
        <v>11</v>
      </c>
      <c r="D14" s="81" t="str">
        <f t="shared" si="0"/>
        <v>Zineb</v>
      </c>
      <c r="E14" s="68">
        <f>'Z_De Marinas_Scenario_Calc'!J23</f>
        <v>1.8164889535511732E-2</v>
      </c>
      <c r="F14" s="68">
        <f>'Z_De Marinas_Scenario_Calc'!K23</f>
        <v>9.1487404394421552E-3</v>
      </c>
      <c r="G14" s="68">
        <f>'Z_De Marinas_Scenario_Calc'!L23</f>
        <v>3.2303217640349765E-6</v>
      </c>
      <c r="H14" s="68">
        <f>'Z_De Marinas_Scenario_Calc'!M23</f>
        <v>1.6269504320989062E-6</v>
      </c>
      <c r="I14" s="68">
        <f>'Z_De Marinas_Scenario_Calc'!R23</f>
        <v>8.2944701075396032E-2</v>
      </c>
      <c r="J14" s="68">
        <f>'Z_De Marinas_Scenario_Calc'!S23</f>
        <v>0.20107121844927814</v>
      </c>
      <c r="K14" s="68">
        <f>'Z_De Marinas_Scenario_Calc'!T23</f>
        <v>1.4750327689657426E-5</v>
      </c>
      <c r="L14" s="68">
        <f>'Z_De Marinas_Scenario_Calc'!U23</f>
        <v>3.5757152353822114E-5</v>
      </c>
    </row>
    <row r="15" spans="2:13" ht="14.25" x14ac:dyDescent="0.2">
      <c r="B15" s="78" t="s">
        <v>175</v>
      </c>
      <c r="C15" s="91" t="s">
        <v>11</v>
      </c>
      <c r="D15" s="81" t="str">
        <f t="shared" si="0"/>
        <v>Zineb</v>
      </c>
      <c r="E15" s="68">
        <f>'Z_De Marinas_Scenario_Calc'!J24</f>
        <v>4.2390341436677574E-3</v>
      </c>
      <c r="F15" s="68">
        <f>'Z_De Marinas_Scenario_Calc'!K24</f>
        <v>4.2390341436677574E-3</v>
      </c>
      <c r="G15" s="68">
        <f>'Z_De Marinas_Scenario_Calc'!L24</f>
        <v>1.3086709698193406E-6</v>
      </c>
      <c r="H15" s="68">
        <f>'Z_De Marinas_Scenario_Calc'!M24</f>
        <v>1.3086709698193406E-6</v>
      </c>
      <c r="I15" s="68">
        <f>'Z_De Marinas_Scenario_Calc'!R24</f>
        <v>1.9356320290720354E-2</v>
      </c>
      <c r="J15" s="68">
        <f>'Z_De Marinas_Scenario_Calc'!S24</f>
        <v>9.3165585575115548E-2</v>
      </c>
      <c r="K15" s="68">
        <f>'Z_De Marinas_Scenario_Calc'!T24</f>
        <v>5.9756665288554363E-6</v>
      </c>
      <c r="L15" s="68">
        <f>'Z_De Marinas_Scenario_Calc'!U24</f>
        <v>2.8761999336688804E-5</v>
      </c>
    </row>
    <row r="16" spans="2:13" ht="14.25" x14ac:dyDescent="0.2">
      <c r="B16" s="78" t="s">
        <v>176</v>
      </c>
      <c r="C16" s="91" t="s">
        <v>11</v>
      </c>
      <c r="D16" s="81" t="str">
        <f t="shared" si="0"/>
        <v>Zineb</v>
      </c>
      <c r="E16" s="68">
        <f>'Z_De Marinas_Scenario_Calc'!J25</f>
        <v>1.168471434444087E-3</v>
      </c>
      <c r="F16" s="68">
        <f>'Z_De Marinas_Scenario_Calc'!K25</f>
        <v>1.1176683849439695E-3</v>
      </c>
      <c r="G16" s="68">
        <f>'Z_De Marinas_Scenario_Calc'!L25</f>
        <v>9.5947858178694824E-7</v>
      </c>
      <c r="H16" s="68">
        <f>'Z_De Marinas_Scenario_Calc'!M25</f>
        <v>9.1776219280792087E-7</v>
      </c>
      <c r="I16" s="68">
        <f>'Z_De Marinas_Scenario_Calc'!R25</f>
        <v>5.3354860020277941E-3</v>
      </c>
      <c r="J16" s="68">
        <f>'Z_De Marinas_Scenario_Calc'!S25</f>
        <v>2.4564140328438892E-2</v>
      </c>
      <c r="K16" s="68">
        <f>'Z_De Marinas_Scenario_Calc'!T25</f>
        <v>4.3811807387531884E-6</v>
      </c>
      <c r="L16" s="68">
        <f>'Z_De Marinas_Scenario_Calc'!U25</f>
        <v>2.017059764413013E-5</v>
      </c>
    </row>
    <row r="17" spans="2:12" ht="14.25" x14ac:dyDescent="0.2">
      <c r="B17" s="78" t="s">
        <v>177</v>
      </c>
      <c r="C17" s="91" t="s">
        <v>11</v>
      </c>
      <c r="D17" s="81" t="str">
        <f t="shared" si="0"/>
        <v>Zineb</v>
      </c>
      <c r="E17" s="68">
        <f>'Z_De Marinas_Scenario_Calc'!J26</f>
        <v>3.5556877996027036E-3</v>
      </c>
      <c r="F17" s="68">
        <f>'Z_De Marinas_Scenario_Calc'!K26</f>
        <v>7.4554741775737518E-4</v>
      </c>
      <c r="G17" s="68">
        <f>'Z_De Marinas_Scenario_Calc'!L26</f>
        <v>5.9270439617348154E-6</v>
      </c>
      <c r="H17" s="68">
        <f>'Z_De Marinas_Scenario_Calc'!M26</f>
        <v>1.2427672428102575E-6</v>
      </c>
      <c r="I17" s="68">
        <f>'Z_De Marinas_Scenario_Calc'!R26</f>
        <v>1.6236017349784033E-2</v>
      </c>
      <c r="J17" s="68">
        <f>'Z_De Marinas_Scenario_Calc'!S26</f>
        <v>1.6385657533129126E-2</v>
      </c>
      <c r="K17" s="68">
        <f>'Z_De Marinas_Scenario_Calc'!T26</f>
        <v>2.7064127679154406E-5</v>
      </c>
      <c r="L17" s="68">
        <f>'Z_De Marinas_Scenario_Calc'!U26</f>
        <v>2.7313565776049614E-5</v>
      </c>
    </row>
    <row r="18" spans="2:12" ht="14.25" x14ac:dyDescent="0.2">
      <c r="B18" s="78" t="s">
        <v>178</v>
      </c>
      <c r="C18" s="91" t="s">
        <v>11</v>
      </c>
      <c r="D18" s="81" t="str">
        <f t="shared" si="0"/>
        <v>Zineb</v>
      </c>
      <c r="E18" s="68">
        <f>'Z_De Marinas_Scenario_Calc'!J27</f>
        <v>2.6368629831031984E-2</v>
      </c>
      <c r="F18" s="68">
        <f>'Z_De Marinas_Scenario_Calc'!K27</f>
        <v>5.0708905760489303E-4</v>
      </c>
      <c r="G18" s="68">
        <f>'Z_De Marinas_Scenario_Calc'!L27</f>
        <v>7.9713329210384079E-5</v>
      </c>
      <c r="H18" s="68">
        <f>'Z_De Marinas_Scenario_Calc'!M27</f>
        <v>1.5329486899968878E-6</v>
      </c>
      <c r="I18" s="68">
        <f>'Z_De Marinas_Scenario_Calc'!R27</f>
        <v>0.12040470242480358</v>
      </c>
      <c r="J18" s="68">
        <f>'Z_De Marinas_Scenario_Calc'!S27</f>
        <v>1.1144814452854793E-2</v>
      </c>
      <c r="K18" s="68">
        <f>'Z_De Marinas_Scenario_Calc'!T27</f>
        <v>3.6398780461362591E-4</v>
      </c>
      <c r="L18" s="68">
        <f>'Z_De Marinas_Scenario_Calc'!U27</f>
        <v>3.3691179999931599E-5</v>
      </c>
    </row>
    <row r="19" spans="2:12" ht="14.25" x14ac:dyDescent="0.2">
      <c r="B19" s="78" t="s">
        <v>179</v>
      </c>
      <c r="C19" s="91" t="s">
        <v>11</v>
      </c>
      <c r="D19" s="81" t="str">
        <f t="shared" si="0"/>
        <v>Zineb</v>
      </c>
      <c r="E19" s="68">
        <f>'Z_De Marinas_Scenario_Calc'!J28</f>
        <v>3.5862379817819957E-2</v>
      </c>
      <c r="F19" s="68">
        <f>'Z_De Marinas_Scenario_Calc'!K28</f>
        <v>0.50207331719829529</v>
      </c>
      <c r="G19" s="68">
        <f>'Z_De Marinas_Scenario_Calc'!L28</f>
        <v>5.6504550329276534E-5</v>
      </c>
      <c r="H19" s="68">
        <f>'Z_De Marinas_Scenario_Calc'!M28</f>
        <v>7.910637020372346E-4</v>
      </c>
      <c r="I19" s="68">
        <f>'Z_De Marinas_Scenario_Calc'!R28</f>
        <v>0.16375515898547927</v>
      </c>
      <c r="J19" s="68">
        <f>'Z_De Marinas_Scenario_Calc'!S28</f>
        <v>11.034578399962534</v>
      </c>
      <c r="K19" s="68">
        <f>'Z_De Marinas_Scenario_Calc'!T28</f>
        <v>2.5801164533916226E-4</v>
      </c>
      <c r="L19" s="68">
        <f>'Z_De Marinas_Scenario_Calc'!U28</f>
        <v>1.7386015429389771E-2</v>
      </c>
    </row>
    <row r="20" spans="2:12" ht="14.25" x14ac:dyDescent="0.2">
      <c r="B20" s="78" t="s">
        <v>180</v>
      </c>
      <c r="C20" s="91" t="s">
        <v>11</v>
      </c>
      <c r="D20" s="81" t="str">
        <f t="shared" si="0"/>
        <v>Zineb</v>
      </c>
      <c r="E20" s="68">
        <f>'Z_De Marinas_Scenario_Calc'!J29</f>
        <v>5.5182000665738732E-3</v>
      </c>
      <c r="F20" s="68">
        <f>'Z_De Marinas_Scenario_Calc'!K29</f>
        <v>8.7129479337385717E-4</v>
      </c>
      <c r="G20" s="68">
        <f>'Z_De Marinas_Scenario_Calc'!L29</f>
        <v>1.4996679466185576E-5</v>
      </c>
      <c r="H20" s="68">
        <f>'Z_De Marinas_Scenario_Calc'!M29</f>
        <v>2.3678968943587657E-6</v>
      </c>
      <c r="I20" s="68">
        <f>'Z_De Marinas_Scenario_Calc'!R29</f>
        <v>2.5197260577962892E-2</v>
      </c>
      <c r="J20" s="68">
        <f>'Z_De Marinas_Scenario_Calc'!S29</f>
        <v>1.9149336118106753E-2</v>
      </c>
      <c r="K20" s="68">
        <f>'Z_De Marinas_Scenario_Calc'!T29</f>
        <v>6.8477988430071124E-5</v>
      </c>
      <c r="L20" s="68">
        <f>'Z_De Marinas_Scenario_Calc'!U29</f>
        <v>5.2041689985906937E-5</v>
      </c>
    </row>
    <row r="21" spans="2:12" ht="28.5" x14ac:dyDescent="0.2">
      <c r="B21" s="78" t="s">
        <v>181</v>
      </c>
      <c r="C21" s="91" t="s">
        <v>11</v>
      </c>
      <c r="D21" s="81" t="str">
        <f t="shared" si="0"/>
        <v>Zineb</v>
      </c>
      <c r="E21" s="68">
        <f>'Z_De Marinas_Scenario_Calc'!J30</f>
        <v>1.5213120143545103E-3</v>
      </c>
      <c r="F21" s="68">
        <f>'Z_De Marinas_Scenario_Calc'!K30</f>
        <v>3.622171819105863E-5</v>
      </c>
      <c r="G21" s="68">
        <f>'Z_De Marinas_Scenario_Calc'!L30</f>
        <v>5.3024983344442778E-6</v>
      </c>
      <c r="H21" s="68">
        <f>'Z_De Marinas_Scenario_Calc'!M30</f>
        <v>1.2624997293156322E-7</v>
      </c>
      <c r="I21" s="68">
        <f>'Z_De Marinas_Scenario_Calc'!R30</f>
        <v>6.9466302025320108E-3</v>
      </c>
      <c r="J21" s="68">
        <f>'Z_De Marinas_Scenario_Calc'!S30</f>
        <v>7.960817184848051E-4</v>
      </c>
      <c r="K21" s="68">
        <f>'Z_De Marinas_Scenario_Calc'!T30</f>
        <v>2.4212321161846017E-5</v>
      </c>
      <c r="L21" s="68">
        <f>'Z_De Marinas_Scenario_Calc'!U30</f>
        <v>2.7747246798145765E-6</v>
      </c>
    </row>
    <row r="22" spans="2:12" ht="28.5" x14ac:dyDescent="0.2">
      <c r="B22" s="78" t="s">
        <v>182</v>
      </c>
      <c r="C22" s="91" t="s">
        <v>11</v>
      </c>
      <c r="D22" s="81" t="str">
        <f t="shared" si="0"/>
        <v>Zineb</v>
      </c>
      <c r="E22" s="68">
        <f>'Z_De Marinas_Scenario_Calc'!J31</f>
        <v>3.3141686486250078E-2</v>
      </c>
      <c r="F22" s="68">
        <f>'Z_De Marinas_Scenario_Calc'!K31</f>
        <v>7.0107419690100675E-3</v>
      </c>
      <c r="G22" s="68">
        <f>'Z_De Marinas_Scenario_Calc'!L31</f>
        <v>3.0688346561795505E-5</v>
      </c>
      <c r="H22" s="68">
        <f>'Z_De Marinas_Scenario_Calc'!M31</f>
        <v>6.4917661500969587E-6</v>
      </c>
      <c r="I22" s="68">
        <f>'Z_De Marinas_Scenario_Calc'!R31</f>
        <v>0.15133190176369898</v>
      </c>
      <c r="J22" s="68">
        <f>'Z_De Marinas_Scenario_Calc'!S31</f>
        <v>0.15408224107714436</v>
      </c>
      <c r="K22" s="68">
        <f>'Z_De Marinas_Scenario_Calc'!T31</f>
        <v>1.4012943635523061E-4</v>
      </c>
      <c r="L22" s="68">
        <f>'Z_De Marinas_Scenario_Calc'!U31</f>
        <v>1.4267617912301007E-4</v>
      </c>
    </row>
    <row r="23" spans="2:12" ht="28.5" x14ac:dyDescent="0.2">
      <c r="B23" s="78" t="s">
        <v>183</v>
      </c>
      <c r="C23" s="91" t="s">
        <v>11</v>
      </c>
      <c r="D23" s="81" t="str">
        <f t="shared" si="0"/>
        <v>Zineb</v>
      </c>
      <c r="E23" s="68">
        <f>'Z_De Marinas_Scenario_Calc'!J32</f>
        <v>5.7186605630849013E-2</v>
      </c>
      <c r="F23" s="68">
        <f>'Z_De Marinas_Scenario_Calc'!K32</f>
        <v>5.1987824823892369E-3</v>
      </c>
      <c r="G23" s="68">
        <f>'Z_De Marinas_Scenario_Calc'!L32</f>
        <v>1.2562580673154735E-4</v>
      </c>
      <c r="H23" s="68">
        <f>'Z_De Marinas_Scenario_Calc'!M32</f>
        <v>1.1420528177460924E-5</v>
      </c>
      <c r="I23" s="68">
        <f>'Z_De Marinas_Scenario_Calc'!R32</f>
        <v>0.26112605310889958</v>
      </c>
      <c r="J23" s="68">
        <f>'Z_De Marinas_Scenario_Calc'!S32</f>
        <v>0.11425895565690632</v>
      </c>
      <c r="K23" s="68">
        <f>'Z_De Marinas_Scenario_Calc'!T32</f>
        <v>5.7363382069199704E-4</v>
      </c>
      <c r="L23" s="68">
        <f>'Z_De Marinas_Scenario_Calc'!U32</f>
        <v>2.5100061928485547E-4</v>
      </c>
    </row>
    <row r="24" spans="2:12" ht="28.5" x14ac:dyDescent="0.2">
      <c r="B24" s="78" t="s">
        <v>184</v>
      </c>
      <c r="C24" s="91" t="s">
        <v>11</v>
      </c>
      <c r="D24" s="81" t="str">
        <f t="shared" si="0"/>
        <v>Zineb</v>
      </c>
      <c r="E24" s="68">
        <f>'Z_De Marinas_Scenario_Calc'!J33</f>
        <v>4.4732846783698543E-2</v>
      </c>
      <c r="F24" s="68">
        <f>'Z_De Marinas_Scenario_Calc'!K33</f>
        <v>1.3979014694787789E-2</v>
      </c>
      <c r="G24" s="68">
        <f>'Z_De Marinas_Scenario_Calc'!L33</f>
        <v>7.2813128618689994E-5</v>
      </c>
      <c r="H24" s="68">
        <f>'Z_De Marinas_Scenario_Calc'!M33</f>
        <v>2.275410270413656E-5</v>
      </c>
      <c r="I24" s="68">
        <f>'Z_De Marinas_Scenario_Calc'!R33</f>
        <v>0.20425957435478787</v>
      </c>
      <c r="J24" s="68">
        <f>'Z_De Marinas_Scenario_Calc'!S33</f>
        <v>0.30723109219313821</v>
      </c>
      <c r="K24" s="68">
        <f>'Z_De Marinas_Scenario_Calc'!T33</f>
        <v>3.3248003935474886E-4</v>
      </c>
      <c r="L24" s="68">
        <f>'Z_De Marinas_Scenario_Calc'!U33</f>
        <v>5.0009016932168267E-4</v>
      </c>
    </row>
    <row r="25" spans="2:12" ht="28.5" x14ac:dyDescent="0.2">
      <c r="B25" s="78" t="s">
        <v>185</v>
      </c>
      <c r="C25" s="91" t="s">
        <v>11</v>
      </c>
      <c r="D25" s="81" t="str">
        <f t="shared" si="0"/>
        <v>Zineb</v>
      </c>
      <c r="E25" s="68">
        <f>'Z_De Marinas_Scenario_Calc'!J34</f>
        <v>1.2254175429381063E-2</v>
      </c>
      <c r="F25" s="68">
        <f>'Z_De Marinas_Scenario_Calc'!K34</f>
        <v>1.3615750815109361E-4</v>
      </c>
      <c r="G25" s="68">
        <f>'Z_De Marinas_Scenario_Calc'!L34</f>
        <v>1.0891725720899768E-5</v>
      </c>
      <c r="H25" s="68">
        <f>'Z_De Marinas_Scenario_Calc'!M34</f>
        <v>1.2101917759657199E-7</v>
      </c>
      <c r="I25" s="68">
        <f>'Z_De Marinas_Scenario_Calc'!R34</f>
        <v>5.5955138946945489E-2</v>
      </c>
      <c r="J25" s="68">
        <f>'Z_De Marinas_Scenario_Calc'!S34</f>
        <v>2.992472706617442E-3</v>
      </c>
      <c r="K25" s="68">
        <f>'Z_De Marinas_Scenario_Calc'!T34</f>
        <v>4.9733907401368806E-5</v>
      </c>
      <c r="L25" s="68">
        <f>'Z_De Marinas_Scenario_Calc'!U34</f>
        <v>2.659762144979604E-6</v>
      </c>
    </row>
    <row r="26" spans="2:12" ht="28.5" x14ac:dyDescent="0.2">
      <c r="B26" s="78" t="s">
        <v>186</v>
      </c>
      <c r="C26" s="91" t="s">
        <v>11</v>
      </c>
      <c r="D26" s="81" t="str">
        <f t="shared" si="0"/>
        <v>Zineb</v>
      </c>
      <c r="E26" s="68">
        <f>'Z_De Marinas_Scenario_Calc'!J35</f>
        <v>6.02324858938834E-2</v>
      </c>
      <c r="F26" s="68">
        <f>'Z_De Marinas_Scenario_Calc'!K35</f>
        <v>1.6865095561764622E-3</v>
      </c>
      <c r="G26" s="68">
        <f>'Z_De Marinas_Scenario_Calc'!L35</f>
        <v>2.0055571268881826E-5</v>
      </c>
      <c r="H26" s="68">
        <f>'Z_De Marinas_Scenario_Calc'!M35</f>
        <v>5.6155597485871291E-7</v>
      </c>
      <c r="I26" s="68">
        <f>'Z_De Marinas_Scenario_Calc'!R35</f>
        <v>0.27503418216385112</v>
      </c>
      <c r="J26" s="68">
        <f>'Z_De Marinas_Scenario_Calc'!S35</f>
        <v>3.7066144091790376E-2</v>
      </c>
      <c r="K26" s="68">
        <f>'Z_De Marinas_Scenario_Calc'!T35</f>
        <v>9.1577950999460395E-5</v>
      </c>
      <c r="L26" s="68">
        <f>'Z_De Marinas_Scenario_Calc'!U35</f>
        <v>1.234188955733435E-5</v>
      </c>
    </row>
    <row r="27" spans="2:12" ht="28.5" x14ac:dyDescent="0.2">
      <c r="B27" s="78" t="s">
        <v>187</v>
      </c>
      <c r="C27" s="91" t="s">
        <v>11</v>
      </c>
      <c r="D27" s="81" t="str">
        <f t="shared" si="0"/>
        <v>Zineb</v>
      </c>
      <c r="E27" s="68">
        <f>'Z_De Marinas_Scenario_Calc'!J36</f>
        <v>4.7542001402879154E-2</v>
      </c>
      <c r="F27" s="68">
        <f>'Z_De Marinas_Scenario_Calc'!K36</f>
        <v>5.0338586538109442E-3</v>
      </c>
      <c r="G27" s="68">
        <f>'Z_De Marinas_Scenario_Calc'!L36</f>
        <v>1.7566963181273021E-5</v>
      </c>
      <c r="H27" s="68">
        <f>'Z_De Marinas_Scenario_Calc'!M36</f>
        <v>1.8600313012600788E-6</v>
      </c>
      <c r="I27" s="68">
        <f>'Z_De Marinas_Scenario_Calc'!R36</f>
        <v>0.21708676439670846</v>
      </c>
      <c r="J27" s="68">
        <f>'Z_De Marinas_Scenario_Calc'!S36</f>
        <v>0.11063425612771306</v>
      </c>
      <c r="K27" s="68">
        <f>'Z_De Marinas_Scenario_Calc'!T36</f>
        <v>8.0214443750105117E-5</v>
      </c>
      <c r="L27" s="68">
        <f>'Z_De Marinas_Scenario_Calc'!U36</f>
        <v>4.087980881890283E-5</v>
      </c>
    </row>
    <row r="28" spans="2:12" ht="28.5" x14ac:dyDescent="0.2">
      <c r="B28" s="78" t="s">
        <v>188</v>
      </c>
      <c r="C28" s="91" t="s">
        <v>11</v>
      </c>
      <c r="D28" s="81" t="str">
        <f t="shared" si="0"/>
        <v>Zineb</v>
      </c>
      <c r="E28" s="68">
        <f>'Z_De Marinas_Scenario_Calc'!J37</f>
        <v>2.9960979242924353E-2</v>
      </c>
      <c r="F28" s="68">
        <f>'Z_De Marinas_Scenario_Calc'!K37</f>
        <v>5.9921959383680175E-3</v>
      </c>
      <c r="G28" s="68">
        <f>'Z_De Marinas_Scenario_Calc'!L37</f>
        <v>1.5457458311746915E-4</v>
      </c>
      <c r="H28" s="68">
        <f>'Z_De Marinas_Scenario_Calc'!M37</f>
        <v>3.0914917166821544E-5</v>
      </c>
      <c r="I28" s="68">
        <f>'Z_De Marinas_Scenario_Calc'!R37</f>
        <v>0.13680812439691487</v>
      </c>
      <c r="J28" s="68">
        <f>'Z_De Marinas_Scenario_Calc'!S37</f>
        <v>0.13169661403006633</v>
      </c>
      <c r="K28" s="68">
        <f>'Z_De Marinas_Scenario_Calc'!T37</f>
        <v>7.0582001423501889E-4</v>
      </c>
      <c r="L28" s="68">
        <f>'Z_De Marinas_Scenario_Calc'!U37</f>
        <v>6.7944872894113285E-4</v>
      </c>
    </row>
    <row r="29" spans="2:12" x14ac:dyDescent="0.2">
      <c r="B29" s="152" t="s">
        <v>160</v>
      </c>
      <c r="C29" s="152"/>
      <c r="D29" s="152"/>
      <c r="E29" s="69">
        <f>'Z_De Marinas_Scenario_Calc'!J38</f>
        <v>2.0503402290155886E-2</v>
      </c>
      <c r="F29" s="69">
        <f>'Z_De Marinas_Scenario_Calc'!K38</f>
        <v>4.2390341436677574E-3</v>
      </c>
      <c r="G29" s="69">
        <f>'Z_De Marinas_Scenario_Calc'!L38</f>
        <v>1.7566963181273021E-5</v>
      </c>
      <c r="H29" s="69">
        <f>'Z_De Marinas_Scenario_Calc'!M38</f>
        <v>1.6269504320989062E-6</v>
      </c>
      <c r="I29" s="69">
        <f>'Z_De Marinas_Scenario_Calc'!R38</f>
        <v>9.3622841507561116E-2</v>
      </c>
      <c r="J29" s="69">
        <f>'Z_De Marinas_Scenario_Calc'!S38</f>
        <v>9.3165585575115548E-2</v>
      </c>
      <c r="K29" s="69">
        <f>'Z_De Marinas_Scenario_Calc'!T38</f>
        <v>8.0214443750105117E-5</v>
      </c>
      <c r="L29" s="69">
        <f>'Z_De Marinas_Scenario_Calc'!U38</f>
        <v>3.5757152353822114E-5</v>
      </c>
    </row>
    <row r="30" spans="2:12" x14ac:dyDescent="0.2">
      <c r="B30" s="152" t="s">
        <v>159</v>
      </c>
      <c r="C30" s="152"/>
      <c r="D30" s="152"/>
      <c r="E30" s="69">
        <f>'Z_De Marinas_Scenario_Calc'!J39</f>
        <v>2.4752121575352139E-2</v>
      </c>
      <c r="F30" s="69">
        <f>'Z_De Marinas_Scenario_Calc'!K39</f>
        <v>3.3149949510288275E-2</v>
      </c>
      <c r="G30" s="69">
        <f>'Z_De Marinas_Scenario_Calc'!L39</f>
        <v>3.7514524308877795E-5</v>
      </c>
      <c r="H30" s="69">
        <f>'Z_De Marinas_Scenario_Calc'!M39</f>
        <v>5.1866343505131323E-5</v>
      </c>
      <c r="I30" s="69">
        <f>'Z_De Marinas_Scenario_Calc'!R39</f>
        <v>0.11302338618882254</v>
      </c>
      <c r="J30" s="69">
        <f>'Z_De Marinas_Scenario_Calc'!S39</f>
        <v>0.72857031890743462</v>
      </c>
      <c r="K30" s="69">
        <f>'Z_De Marinas_Scenario_Calc'!T39</f>
        <v>1.7129919775743283E-4</v>
      </c>
      <c r="L30" s="69">
        <f>'Z_De Marinas_Scenario_Calc'!U39</f>
        <v>1.1399196374754133E-3</v>
      </c>
    </row>
    <row r="31" spans="2:12" x14ac:dyDescent="0.2">
      <c r="B31" s="152" t="s">
        <v>12</v>
      </c>
      <c r="C31" s="152"/>
      <c r="D31" s="152"/>
      <c r="E31" s="69">
        <f>'Z_De Marinas_Scenario_Calc'!J40</f>
        <v>6.02324858938834E-2</v>
      </c>
      <c r="F31" s="69">
        <f>'Z_De Marinas_Scenario_Calc'!K40</f>
        <v>0.50207331719829529</v>
      </c>
      <c r="G31" s="69">
        <f>'Z_De Marinas_Scenario_Calc'!L40</f>
        <v>1.5457458311746915E-4</v>
      </c>
      <c r="H31" s="69">
        <f>'Z_De Marinas_Scenario_Calc'!M40</f>
        <v>7.910637020372346E-4</v>
      </c>
      <c r="I31" s="69">
        <f>'Z_De Marinas_Scenario_Calc'!R40</f>
        <v>0.27503418216385112</v>
      </c>
      <c r="J31" s="69">
        <f>'Z_De Marinas_Scenario_Calc'!S40</f>
        <v>11.034578399962534</v>
      </c>
      <c r="K31" s="69">
        <f>'Z_De Marinas_Scenario_Calc'!T40</f>
        <v>7.0582001423501889E-4</v>
      </c>
      <c r="L31" s="69">
        <f>'Z_De Marinas_Scenario_Calc'!U40</f>
        <v>1.7386015429389771E-2</v>
      </c>
    </row>
    <row r="32" spans="2:12" x14ac:dyDescent="0.2">
      <c r="B32" s="152" t="s">
        <v>13</v>
      </c>
      <c r="C32" s="152"/>
      <c r="D32" s="152"/>
      <c r="E32" s="69">
        <f>'Z_De Marinas_Scenario_Calc'!J41</f>
        <v>1.168471434444087E-3</v>
      </c>
      <c r="F32" s="69">
        <f>'Z_De Marinas_Scenario_Calc'!K41</f>
        <v>3.622171819105863E-5</v>
      </c>
      <c r="G32" s="69">
        <f>'Z_De Marinas_Scenario_Calc'!L41</f>
        <v>9.5947858178694824E-7</v>
      </c>
      <c r="H32" s="69">
        <f>'Z_De Marinas_Scenario_Calc'!M41</f>
        <v>1.2101917759657199E-7</v>
      </c>
      <c r="I32" s="69">
        <f>'Z_De Marinas_Scenario_Calc'!R41</f>
        <v>5.3354860020277941E-3</v>
      </c>
      <c r="J32" s="69">
        <f>'Z_De Marinas_Scenario_Calc'!S41</f>
        <v>7.960817184848051E-4</v>
      </c>
      <c r="K32" s="69">
        <f>'Z_De Marinas_Scenario_Calc'!T41</f>
        <v>4.3811807387531884E-6</v>
      </c>
      <c r="L32" s="69">
        <f>'Z_De Marinas_Scenario_Calc'!U41</f>
        <v>2.659762144979604E-6</v>
      </c>
    </row>
    <row r="33" spans="2:14" x14ac:dyDescent="0.2">
      <c r="B33" s="74"/>
      <c r="C33" s="74"/>
      <c r="D33" s="74"/>
      <c r="E33" s="74"/>
      <c r="F33" s="74"/>
      <c r="G33" s="74"/>
      <c r="H33" s="74"/>
      <c r="I33" s="74"/>
      <c r="J33" s="74"/>
      <c r="K33" s="74"/>
      <c r="L33" s="74"/>
    </row>
    <row r="34" spans="2:14" x14ac:dyDescent="0.2">
      <c r="B34" s="60"/>
      <c r="C34" s="60"/>
      <c r="D34" s="61"/>
      <c r="E34" s="62"/>
      <c r="F34" s="62"/>
      <c r="G34" s="62"/>
      <c r="H34" s="62"/>
      <c r="I34" s="60"/>
      <c r="J34" s="60"/>
      <c r="K34" s="60"/>
      <c r="L34" s="60"/>
      <c r="M34" s="10"/>
      <c r="N34" s="10"/>
    </row>
    <row r="35" spans="2:14" x14ac:dyDescent="0.2">
      <c r="B35" s="60"/>
      <c r="C35" s="60"/>
      <c r="D35" s="61"/>
      <c r="E35" s="62"/>
      <c r="F35" s="62"/>
      <c r="G35" s="62"/>
      <c r="H35" s="62"/>
      <c r="I35" s="60"/>
      <c r="J35" s="60"/>
      <c r="K35" s="60"/>
      <c r="L35" s="60"/>
      <c r="M35" s="10"/>
      <c r="N35" s="10"/>
    </row>
    <row r="36" spans="2:14" x14ac:dyDescent="0.2">
      <c r="B36" s="60"/>
      <c r="C36" s="60"/>
      <c r="D36" s="61"/>
      <c r="E36" s="62"/>
      <c r="F36" s="62"/>
      <c r="G36" s="62"/>
      <c r="H36" s="62"/>
      <c r="I36" s="60"/>
      <c r="J36" s="60"/>
      <c r="K36" s="60"/>
      <c r="L36" s="60"/>
      <c r="M36" s="10"/>
      <c r="N36" s="10"/>
    </row>
    <row r="37" spans="2:14" x14ac:dyDescent="0.2">
      <c r="B37" s="60"/>
      <c r="C37" s="60"/>
      <c r="D37" s="61"/>
      <c r="E37" s="62"/>
      <c r="F37" s="62"/>
      <c r="G37" s="62"/>
      <c r="H37" s="62"/>
      <c r="I37" s="60"/>
      <c r="J37" s="60"/>
      <c r="K37" s="60"/>
      <c r="L37" s="60"/>
      <c r="M37" s="10"/>
      <c r="N37" s="10"/>
    </row>
    <row r="38" spans="2:14" x14ac:dyDescent="0.2">
      <c r="B38" s="60"/>
      <c r="C38" s="60"/>
      <c r="D38" s="61"/>
      <c r="E38" s="62"/>
      <c r="F38" s="62"/>
      <c r="G38" s="62"/>
      <c r="H38" s="62"/>
      <c r="I38" s="60"/>
      <c r="J38" s="60"/>
      <c r="K38" s="60"/>
      <c r="L38" s="60"/>
      <c r="M38" s="10"/>
      <c r="N38" s="10"/>
    </row>
    <row r="39" spans="2:14" x14ac:dyDescent="0.2">
      <c r="B39" s="60"/>
      <c r="C39" s="60"/>
      <c r="D39" s="61"/>
      <c r="E39" s="62"/>
      <c r="F39" s="62"/>
      <c r="G39" s="62"/>
      <c r="H39" s="62"/>
      <c r="I39" s="60"/>
      <c r="J39" s="60"/>
      <c r="K39" s="60"/>
      <c r="L39" s="60"/>
      <c r="M39" s="10"/>
      <c r="N39" s="10"/>
    </row>
    <row r="40" spans="2:14" x14ac:dyDescent="0.2">
      <c r="B40" s="60"/>
      <c r="C40" s="60"/>
      <c r="D40" s="61"/>
      <c r="E40" s="62"/>
      <c r="F40" s="62"/>
      <c r="G40" s="62"/>
      <c r="H40" s="62"/>
      <c r="I40" s="60"/>
      <c r="J40" s="60"/>
      <c r="K40" s="60"/>
      <c r="L40" s="60"/>
      <c r="M40" s="10"/>
      <c r="N40" s="10"/>
    </row>
    <row r="41" spans="2:14" x14ac:dyDescent="0.2">
      <c r="B41" s="60"/>
      <c r="C41" s="60"/>
      <c r="D41" s="61"/>
      <c r="E41" s="62"/>
      <c r="F41" s="62"/>
      <c r="G41" s="62"/>
      <c r="H41" s="62"/>
      <c r="I41" s="60"/>
      <c r="J41" s="60"/>
      <c r="K41" s="60"/>
      <c r="L41" s="60"/>
      <c r="M41" s="10"/>
      <c r="N41" s="10"/>
    </row>
    <row r="42" spans="2:14" x14ac:dyDescent="0.2">
      <c r="B42" s="60"/>
      <c r="C42" s="60"/>
      <c r="D42" s="61"/>
      <c r="E42" s="62"/>
      <c r="F42" s="62"/>
      <c r="G42" s="62"/>
      <c r="H42" s="62"/>
      <c r="I42" s="60"/>
      <c r="J42" s="60"/>
      <c r="K42" s="60"/>
      <c r="L42" s="60"/>
      <c r="M42" s="10"/>
      <c r="N42" s="10"/>
    </row>
    <row r="43" spans="2:14" x14ac:dyDescent="0.2">
      <c r="B43" s="60"/>
      <c r="C43" s="60"/>
      <c r="D43" s="61"/>
      <c r="E43" s="62"/>
      <c r="F43" s="62"/>
      <c r="G43" s="62"/>
      <c r="H43" s="62"/>
      <c r="I43" s="60"/>
      <c r="J43" s="60"/>
      <c r="K43" s="60"/>
      <c r="L43" s="60"/>
      <c r="M43" s="10"/>
      <c r="N43" s="10"/>
    </row>
    <row r="44" spans="2:14" x14ac:dyDescent="0.2">
      <c r="B44" s="60"/>
      <c r="C44" s="60"/>
      <c r="D44" s="61"/>
      <c r="E44" s="62"/>
      <c r="F44" s="62"/>
      <c r="G44" s="62"/>
      <c r="H44" s="62"/>
      <c r="I44" s="60"/>
      <c r="J44" s="60"/>
      <c r="K44" s="60"/>
      <c r="L44" s="60"/>
      <c r="M44" s="10"/>
      <c r="N44" s="10"/>
    </row>
    <row r="45" spans="2:14" x14ac:dyDescent="0.2">
      <c r="B45" s="60"/>
      <c r="C45" s="60"/>
      <c r="D45" s="61"/>
      <c r="E45" s="62"/>
      <c r="F45" s="62"/>
      <c r="G45" s="62"/>
      <c r="H45" s="62"/>
      <c r="I45" s="60"/>
      <c r="J45" s="60"/>
      <c r="K45" s="60"/>
      <c r="L45" s="60"/>
      <c r="M45" s="10"/>
      <c r="N45" s="10"/>
    </row>
    <row r="46" spans="2:14" x14ac:dyDescent="0.2">
      <c r="B46" s="60"/>
      <c r="C46" s="60"/>
      <c r="D46" s="61"/>
      <c r="E46" s="62"/>
      <c r="F46" s="62"/>
      <c r="G46" s="62"/>
      <c r="H46" s="62"/>
      <c r="I46" s="60"/>
      <c r="J46" s="60"/>
      <c r="K46" s="60"/>
      <c r="L46" s="60"/>
      <c r="M46" s="10"/>
      <c r="N46" s="10"/>
    </row>
    <row r="47" spans="2:14" x14ac:dyDescent="0.2">
      <c r="B47" s="60"/>
      <c r="C47" s="60"/>
      <c r="D47" s="61"/>
      <c r="E47" s="62"/>
      <c r="F47" s="62"/>
      <c r="G47" s="62"/>
      <c r="H47" s="62"/>
      <c r="I47" s="60"/>
      <c r="J47" s="60"/>
      <c r="K47" s="60"/>
      <c r="L47" s="60"/>
      <c r="M47" s="10"/>
      <c r="N47" s="10"/>
    </row>
    <row r="48" spans="2:14" x14ac:dyDescent="0.2">
      <c r="B48" s="60"/>
      <c r="C48" s="60"/>
      <c r="D48" s="61"/>
      <c r="E48" s="62"/>
      <c r="F48" s="62"/>
      <c r="G48" s="62"/>
      <c r="H48" s="62"/>
      <c r="I48" s="60"/>
      <c r="J48" s="60"/>
      <c r="K48" s="60"/>
      <c r="L48" s="60"/>
      <c r="M48" s="10"/>
      <c r="N48" s="10"/>
    </row>
    <row r="49" spans="2:14" x14ac:dyDescent="0.2">
      <c r="B49" s="10"/>
      <c r="C49" s="10"/>
      <c r="D49" s="10"/>
      <c r="E49" s="10"/>
      <c r="F49" s="10"/>
      <c r="G49" s="10"/>
      <c r="H49" s="10"/>
      <c r="I49" s="10"/>
      <c r="J49" s="10"/>
      <c r="K49" s="10"/>
      <c r="L49" s="10"/>
      <c r="M49" s="10"/>
      <c r="N49" s="10"/>
    </row>
    <row r="50" spans="2:14" x14ac:dyDescent="0.2">
      <c r="B50" s="10"/>
      <c r="C50" s="10"/>
      <c r="D50" s="10"/>
      <c r="E50" s="10"/>
      <c r="F50" s="10"/>
      <c r="G50" s="10"/>
      <c r="H50" s="10"/>
      <c r="I50" s="10"/>
      <c r="J50" s="10"/>
      <c r="K50" s="10"/>
      <c r="L50" s="10"/>
      <c r="M50" s="10"/>
      <c r="N50" s="10"/>
    </row>
  </sheetData>
  <mergeCells count="11">
    <mergeCell ref="B10:L10"/>
    <mergeCell ref="B30:D30"/>
    <mergeCell ref="B31:D31"/>
    <mergeCell ref="B32:D32"/>
    <mergeCell ref="B2:M2"/>
    <mergeCell ref="B4:F4"/>
    <mergeCell ref="B5:E5"/>
    <mergeCell ref="B6:E6"/>
    <mergeCell ref="B7:E7"/>
    <mergeCell ref="B8:E8"/>
    <mergeCell ref="B29:D29"/>
  </mergeCells>
  <conditionalFormatting sqref="I12:L28 I30:L32">
    <cfRule type="cellIs" dxfId="11" priority="4" operator="lessThan">
      <formula>1</formula>
    </cfRule>
    <cfRule type="cellIs" dxfId="10" priority="5" operator="greaterThan">
      <formula>1</formula>
    </cfRule>
    <cfRule type="cellIs" dxfId="9" priority="6" operator="equal">
      <formula>1</formula>
    </cfRule>
  </conditionalFormatting>
  <conditionalFormatting sqref="I29:L29">
    <cfRule type="cellIs" dxfId="8" priority="1" operator="lessThan">
      <formula>1</formula>
    </cfRule>
    <cfRule type="cellIs" dxfId="7" priority="2" operator="greaterThan">
      <formula>1</formula>
    </cfRule>
    <cfRule type="cellIs" dxfId="6" priority="3" operator="equal">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43</vt:i4>
      </vt:variant>
    </vt:vector>
  </HeadingPairs>
  <TitlesOfParts>
    <vt:vector size="58" baseType="lpstr">
      <vt:lpstr> Introduction</vt:lpstr>
      <vt:lpstr>Instructions</vt:lpstr>
      <vt:lpstr>Z_User_Input</vt:lpstr>
      <vt:lpstr>D_User_Input</vt:lpstr>
      <vt:lpstr>Z+D_Output_Summary</vt:lpstr>
      <vt:lpstr>Z_Output_Summary</vt:lpstr>
      <vt:lpstr>D_Output_Summary</vt:lpstr>
      <vt:lpstr>Z+D_Output_DE marinas</vt:lpstr>
      <vt:lpstr>Z_Output_DE marinas</vt:lpstr>
      <vt:lpstr>D_Output_DE marinas</vt:lpstr>
      <vt:lpstr>Z+D_DE Marinas_Scenario_Cal</vt:lpstr>
      <vt:lpstr>Z_De Marinas_Scenario_Calc</vt:lpstr>
      <vt:lpstr>D_DE Marinas_Scenario_Calc</vt:lpstr>
      <vt:lpstr>Zineb_Input</vt:lpstr>
      <vt:lpstr>DIDT_Input</vt:lpstr>
      <vt:lpstr>'Z_De Marinas_Scenario_Calc'!Application_Conversion_Factor</vt:lpstr>
      <vt:lpstr>Application_Conversion_Factor</vt:lpstr>
      <vt:lpstr>Application_Factor</vt:lpstr>
      <vt:lpstr>D_User_Input!D_a</vt:lpstr>
      <vt:lpstr>D_Average_biocide_release_over_the_lifetime_of_the_paint_C</vt:lpstr>
      <vt:lpstr>D_Average_biocide_release_over_the_lifetime_of_the_paint_M</vt:lpstr>
      <vt:lpstr>D_Background_Sed_Freshwater</vt:lpstr>
      <vt:lpstr>D_Background_SW_Freshwater</vt:lpstr>
      <vt:lpstr>D_Compound_Name</vt:lpstr>
      <vt:lpstr>D_User_Input!D_DFT</vt:lpstr>
      <vt:lpstr>D_User_Input!D_La</vt:lpstr>
      <vt:lpstr>'D_DE Marinas_Scenario_Calc'!D_Leaching_Conversion_Factor</vt:lpstr>
      <vt:lpstr>D_User_Input!D_Mrel</vt:lpstr>
      <vt:lpstr>D_PNEC_Aquatic_Inside</vt:lpstr>
      <vt:lpstr>D_PNEC_Aquatic_Surrounding</vt:lpstr>
      <vt:lpstr>D_PNEC_Sediment_Inside</vt:lpstr>
      <vt:lpstr>D_PNEC_Sediment_Surrounding</vt:lpstr>
      <vt:lpstr>D_User_Input!D_t</vt:lpstr>
      <vt:lpstr>D_User_Input!D_VS</vt:lpstr>
      <vt:lpstr>D_User_Input!D_ƿ</vt:lpstr>
      <vt:lpstr>D_User_Input!D_Wa</vt:lpstr>
      <vt:lpstr>Substance</vt:lpstr>
      <vt:lpstr>Tooltype</vt:lpstr>
      <vt:lpstr>Version</vt:lpstr>
      <vt:lpstr>'Z_De Marinas_Scenario_Calc'!WSA_OECD_default</vt:lpstr>
      <vt:lpstr>Z_a</vt:lpstr>
      <vt:lpstr>Z_Average_biocide_release_over_the_lifetime_of_the_paint_C</vt:lpstr>
      <vt:lpstr>Z_Average_biocide_release_over_the_lifetime_of_the_paint_M</vt:lpstr>
      <vt:lpstr>Z_Background_Sed_Freshwater</vt:lpstr>
      <vt:lpstr>Z_Background_SW_Freshwater</vt:lpstr>
      <vt:lpstr>Z_Compound_Name</vt:lpstr>
      <vt:lpstr>Z_DFT</vt:lpstr>
      <vt:lpstr>Z_La</vt:lpstr>
      <vt:lpstr>'Z_De Marinas_Scenario_Calc'!Z_Leaching_Conversion_Factor</vt:lpstr>
      <vt:lpstr>Z_Mrel</vt:lpstr>
      <vt:lpstr>Z_PNEC_Aquatic_Inside</vt:lpstr>
      <vt:lpstr>Z_PNEC_Aquatic_Surrounding</vt:lpstr>
      <vt:lpstr>Z_PNEC_Sediment_Inside</vt:lpstr>
      <vt:lpstr>Z_PNEC_Sediment_Surrounding</vt:lpstr>
      <vt:lpstr>Z_t</vt:lpstr>
      <vt:lpstr>Z_VS</vt:lpstr>
      <vt:lpstr>Z_ƿ</vt:lpstr>
      <vt:lpstr>Z_Wa</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2020-06-19T10:10:23Z</dcterms:modified>
</cp:coreProperties>
</file>